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ver" sheetId="1" r:id="rId1"/>
    <sheet name="Executive Summary" sheetId="2" r:id="rId2"/>
    <sheet name="Control Panel" sheetId="3" r:id="rId3"/>
    <sheet name="Buyer Standalone" sheetId="4" r:id="rId4"/>
    <sheet name="Target Standalone" sheetId="5" r:id="rId5"/>
    <sheet name="Transaction Assumptions" sheetId="6" r:id="rId6"/>
    <sheet name="Sources &amp; Uses" sheetId="7" r:id="rId7"/>
    <sheet name="Purchase Accounting" sheetId="8" r:id="rId8"/>
    <sheet name="Financing Assumptions" sheetId="9" r:id="rId9"/>
    <sheet name="Synergies" sheetId="10" r:id="rId10"/>
    <sheet name="Pro Forma Income Statement" sheetId="11" r:id="rId11"/>
    <sheet name="Accretion Dilution" sheetId="12" r:id="rId12"/>
    <sheet name="Ownership EPS" sheetId="13" r:id="rId13"/>
    <sheet name="Sensitivities" sheetId="14" r:id="rId14"/>
    <sheet name="Checks" sheetId="15" r:id="rId15"/>
    <sheet name="Source Notes" sheetId="16" r:id="rId16"/>
  </sheets>
  <definedNames>
    <definedName name="Announcement_Year">'Control Panel'!$B$8</definedName>
    <definedName name="Buyer_Basic_Shares">'Control Panel'!$B$12</definedName>
    <definedName name="Buyer_Da_Percent_Revenue">'Control Panel'!$B$42</definedName>
    <definedName name="Buyer_Diluted_Shares">'Control Panel'!$B$13</definedName>
    <definedName name="Buyer_Ebitda_Margin">'Control Panel'!$B$41</definedName>
    <definedName name="Buyer_Fcf_Conversion">'Control Panel'!$B$44</definedName>
    <definedName name="Buyer_Interest_Expense">'Control Panel'!$B$43</definedName>
    <definedName name="Buyer_Name">'Control Panel'!$B$6</definedName>
    <definedName name="Buyer_Revenue_Base">'Control Panel'!$B$39</definedName>
    <definedName name="Buyer_Revenue_Growth">'Control Panel'!$B$40</definedName>
    <definedName name="Buyer_Share_Price">'Control Panel'!$B$11</definedName>
    <definedName name="Buyer_Standalone_Eps">'Control Panel'!$B$14</definedName>
    <definedName name="Cash_Mix">'Control Panel'!$B$20</definedName>
    <definedName name="Cash_To_Balance_Sheet">'Control Panel'!$B$59</definedName>
    <definedName name="Close_Year">'Control Panel'!$B$9</definedName>
    <definedName name="Cost_To_Achieve_Percent">'Control Panel'!$B$30</definedName>
    <definedName name="Debt_Mix">'Control Panel'!$B$22</definedName>
    <definedName name="Debt_Repayment_Percent">'Control Panel'!$B$62</definedName>
    <definedName name="Financing_Fee_Percent_Debt">'Control Panel'!$B$36</definedName>
    <definedName name="Forecast_Years">'Control Panel'!$B$10</definedName>
    <definedName name="Intangible_Life">'Control Panel'!$B$32</definedName>
    <definedName name="Intangible_Step_Up">'Control Panel'!$B$31</definedName>
    <definedName name="Inventory_Step_Up">'Control Panel'!$B$58</definedName>
    <definedName name="Lost_Cash_Interest_Rate">'Control Panel'!$B$25</definedName>
    <definedName name="New_Debt_Amount">'Control Panel'!$B$23</definedName>
    <definedName name="New_Debt_Interest_Rate">'Control Panel'!$B$24</definedName>
    <definedName name="Other_Adjustments">'Control Panel'!$B$60</definedName>
    <definedName name="Other_Financing">'Control Panel'!$B$61</definedName>
    <definedName name="Ppe_Step_Up">'Control Panel'!$B$33</definedName>
    <definedName name="Ppe_Step_Up_Life">'Control Panel'!$B$34</definedName>
    <definedName name="Revenue_Synergy_Margin">'Control Panel'!$B$53</definedName>
    <definedName name="Run_Rate_Cost_Synergies">'Control Panel'!$B$51</definedName>
    <definedName name="Run_Rate_Dis_Synergies">'Control Panel'!$B$54</definedName>
    <definedName name="Run_Rate_Revenue_Synergies">'Control Panel'!$B$52</definedName>
    <definedName name="Scenario_Selection">'Control Panel'!$B$38</definedName>
    <definedName name="Speculative_Upside_Synergies">'Control Panel'!$B$56</definedName>
    <definedName name="Stock_Mix">'Control Panel'!$B$21</definedName>
    <definedName name="Synergy_Ramp_Y1">'Control Panel'!$B$27</definedName>
    <definedName name="Synergy_Ramp_Y2">'Control Panel'!$B$28</definedName>
    <definedName name="Synergy_Ramp_Y3_Plus">'Control Panel'!$B$29</definedName>
    <definedName name="Target_Book_Equity">'Control Panel'!$B$57</definedName>
    <definedName name="Target_Da_Percent_Revenue">'Control Panel'!$B$48</definedName>
    <definedName name="Target_Diluted_Shares">'Control Panel'!$B$17</definedName>
    <definedName name="Target_Ebitda_Margin">'Control Panel'!$B$47</definedName>
    <definedName name="Target_Fcf_Conversion">'Control Panel'!$B$50</definedName>
    <definedName name="Target_Interest_Expense">'Control Panel'!$B$49</definedName>
    <definedName name="Target_Name">'Control Panel'!$B$7</definedName>
    <definedName name="Target_Net_Debt">'Control Panel'!$B$18</definedName>
    <definedName name="Target_Offer_Price">'Control Panel'!$B$15</definedName>
    <definedName name="Target_Revenue_Base">'Control Panel'!$B$45</definedName>
    <definedName name="Target_Revenue_Growth">'Control Panel'!$B$46</definedName>
    <definedName name="Target_Undisturbed_Price">'Control Panel'!$B$16</definedName>
    <definedName name="Tax_Rate">'Control Panel'!$B$26</definedName>
    <definedName name="Transaction_Fee_Percent_Ev">'Control Panel'!$B$37</definedName>
    <definedName name="Underwritten_Synergy_Realization">'Control Panel'!$B$55</definedName>
  </definedNames>
  <calcPr calcId="124519" fullCalcOnLoad="1"/>
</workbook>
</file>

<file path=xl/sharedStrings.xml><?xml version="1.0" encoding="utf-8"?>
<sst xmlns="http://schemas.openxmlformats.org/spreadsheetml/2006/main" count="594" uniqueCount="338">
  <si>
    <t>Merger Model Builder - Banker Formula Workbook</t>
  </si>
  <si>
    <t>Workbook mode</t>
  </si>
  <si>
    <t>banker_formula_workbook</t>
  </si>
  <si>
    <t>Generated</t>
  </si>
  <si>
    <t>2026-05-12 03:53 UTC</t>
  </si>
  <si>
    <t>Legend</t>
  </si>
  <si>
    <t>Input</t>
  </si>
  <si>
    <t>Output</t>
  </si>
  <si>
    <t>Warning</t>
  </si>
  <si>
    <t>Purpose</t>
  </si>
  <si>
    <t>Live formula-driven merger model for sources/uses, purchase accounting, financing, synergies, PF EPS, ownership, accretion/dilution, sensitivities, and checks.</t>
  </si>
  <si>
    <t>Model status</t>
  </si>
  <si>
    <t>screen-grade placeholder until source-backed buyer, target, deal, financing, and PPA inputs are provided</t>
  </si>
  <si>
    <t>Navigation</t>
  </si>
  <si>
    <t>Executive Summary</t>
  </si>
  <si>
    <t>Leadership-ready deal outputs.</t>
  </si>
  <si>
    <t>Control Panel</t>
  </si>
  <si>
    <t>Central assumptions and switches.</t>
  </si>
  <si>
    <t>Buyer Standalone</t>
  </si>
  <si>
    <t>Model schedule with formulas and cross-sheet links.</t>
  </si>
  <si>
    <t>Target Standalone</t>
  </si>
  <si>
    <t>Transaction Assumptions</t>
  </si>
  <si>
    <t>Sources &amp; Uses</t>
  </si>
  <si>
    <t>Purchase Accounting</t>
  </si>
  <si>
    <t>Financing Assumptions</t>
  </si>
  <si>
    <t>Synergies</t>
  </si>
  <si>
    <t>Pro Forma Income Statement</t>
  </si>
  <si>
    <t>Accretion Dilution</t>
  </si>
  <si>
    <t>Ownership EPS</t>
  </si>
  <si>
    <t>Sensitivities</t>
  </si>
  <si>
    <t>Checks</t>
  </si>
  <si>
    <t>Integrity checks that return OK / FAIL.</t>
  </si>
  <si>
    <t>Source Notes</t>
  </si>
  <si>
    <t>Evidence labels and diligence items.</t>
  </si>
  <si>
    <t>Usage notes</t>
  </si>
  <si>
    <t>Blue cells are editable assumptions. Green cells are formula outputs. Yellow cells require source-backed replacement before senior circulation. The workbook contains no macros and should not contain external links.</t>
  </si>
  <si>
    <t>Assumption</t>
  </si>
  <si>
    <t>Value</t>
  </si>
  <si>
    <t>Notes</t>
  </si>
  <si>
    <t>Buyer name</t>
  </si>
  <si>
    <t>Apex Systems Inc.</t>
  </si>
  <si>
    <t>Buyer legal / reporting entity.</t>
  </si>
  <si>
    <t>Target name</t>
  </si>
  <si>
    <t>Beacon Analytics Ltd.</t>
  </si>
  <si>
    <t>Target legal / reporting entity.</t>
  </si>
  <si>
    <t>Announcement year</t>
  </si>
  <si>
    <t>Used for timeline labels.</t>
  </si>
  <si>
    <t>Close year</t>
  </si>
  <si>
    <t>First pro forma forecast year.</t>
  </si>
  <si>
    <t>Forecast years</t>
  </si>
  <si>
    <t>Builder currently lays out five forecast columns.</t>
  </si>
  <si>
    <t>Buyer share price</t>
  </si>
  <si>
    <t>Used for stock consideration and ownership.</t>
  </si>
  <si>
    <t>Buyer basic shares</t>
  </si>
  <si>
    <t>Shares in millions.</t>
  </si>
  <si>
    <t>Buyer diluted shares</t>
  </si>
  <si>
    <t>Buyer standalone EPS</t>
  </si>
  <si>
    <t>Standalone EPS baseline.</t>
  </si>
  <si>
    <t>Target offer price</t>
  </si>
  <si>
    <t>Offer price per target share.</t>
  </si>
  <si>
    <t>Target undisturbed price</t>
  </si>
  <si>
    <t>Used to calculate premium.</t>
  </si>
  <si>
    <t>Target diluted shares</t>
  </si>
  <si>
    <t>Shares or ownership units in millions.</t>
  </si>
  <si>
    <t>Target net debt</t>
  </si>
  <si>
    <t>Debt less cash, in $mm.</t>
  </si>
  <si>
    <t>Transaction enterprise value</t>
  </si>
  <si>
    <t>Formula output from Transaction Assumptions.</t>
  </si>
  <si>
    <t>Cash consideration mix</t>
  </si>
  <si>
    <t>Percent of equity purchase price paid in cash.</t>
  </si>
  <si>
    <t>Stock consideration mix</t>
  </si>
  <si>
    <t>Percent of equity purchase price paid in stock.</t>
  </si>
  <si>
    <t>Other consideration mix</t>
  </si>
  <si>
    <t>Other consideration percent; should make total mix equal 100%.</t>
  </si>
  <si>
    <t>New debt amount</t>
  </si>
  <si>
    <t>Incremental debt financing.</t>
  </si>
  <si>
    <t>New debt interest rate</t>
  </si>
  <si>
    <t>Cash-pay rate on new debt.</t>
  </si>
  <si>
    <t>Lost cash interest rate</t>
  </si>
  <si>
    <t>Interest income foregone on cash used.</t>
  </si>
  <si>
    <t>Tax rate</t>
  </si>
  <si>
    <t>Blended marginal tax rate.</t>
  </si>
  <si>
    <t>Synergy ramp Y1</t>
  </si>
  <si>
    <t>First forecast year run-rate realization.</t>
  </si>
  <si>
    <t>Synergy ramp Y2</t>
  </si>
  <si>
    <t>Second forecast year run-rate realization.</t>
  </si>
  <si>
    <t>Synergy ramp Y3+</t>
  </si>
  <si>
    <t>Steady-state realization.</t>
  </si>
  <si>
    <t>Cost-to-achieve %</t>
  </si>
  <si>
    <t>Integration cash cost as percent of gross cost synergies.</t>
  </si>
  <si>
    <t>Intangible step-up</t>
  </si>
  <si>
    <t>Preliminary identifiable intangibles.</t>
  </si>
  <si>
    <t>Intangible amortization life</t>
  </si>
  <si>
    <t>Weighted-average useful life.</t>
  </si>
  <si>
    <t>PPE step-up</t>
  </si>
  <si>
    <t>Preliminary PPE fair-value step-up.</t>
  </si>
  <si>
    <t>PPE step-up life</t>
  </si>
  <si>
    <t>Useful life for incremental depreciation.</t>
  </si>
  <si>
    <t>Goodwill plug</t>
  </si>
  <si>
    <t>Formula output from Purchase Accounting.</t>
  </si>
  <si>
    <t>Financing fee % of debt</t>
  </si>
  <si>
    <t>Debt issuance fee assumption.</t>
  </si>
  <si>
    <t>Transaction fee % of EV</t>
  </si>
  <si>
    <t>Transaction expenses as percent of EV.</t>
  </si>
  <si>
    <t>Scenario selection</t>
  </si>
  <si>
    <t>Base</t>
  </si>
  <si>
    <t>Base / Downside / Upside.</t>
  </si>
  <si>
    <t>Buyer revenue base</t>
  </si>
  <si>
    <t>Prior-year revenue starting point.</t>
  </si>
  <si>
    <t>Buyer revenue growth</t>
  </si>
  <si>
    <t>Standalone forecast growth.</t>
  </si>
  <si>
    <t>Buyer EBITDA margin</t>
  </si>
  <si>
    <t>Standalone EBITDA margin.</t>
  </si>
  <si>
    <t>Buyer D&amp;A % revenue</t>
  </si>
  <si>
    <t>Standalone D&amp;A as percent of revenue.</t>
  </si>
  <si>
    <t>Buyer interest expense</t>
  </si>
  <si>
    <t>Standalone interest expense.</t>
  </si>
  <si>
    <t>Buyer FCF conversion</t>
  </si>
  <si>
    <t>Net income to FCF conversion.</t>
  </si>
  <si>
    <t>Target revenue base</t>
  </si>
  <si>
    <t>Target revenue growth</t>
  </si>
  <si>
    <t>Target EBITDA margin</t>
  </si>
  <si>
    <t>Target D&amp;A % revenue</t>
  </si>
  <si>
    <t>Target interest expense</t>
  </si>
  <si>
    <t>Target FCF conversion</t>
  </si>
  <si>
    <t>Run-rate cost synergies</t>
  </si>
  <si>
    <t>Underwritten gross cost synergies.</t>
  </si>
  <si>
    <t>Run-rate revenue synergies</t>
  </si>
  <si>
    <t>Revenue synergy revenue, not EBITDA.</t>
  </si>
  <si>
    <t>Revenue synergy margin</t>
  </si>
  <si>
    <t>Incremental margin on revenue synergies.</t>
  </si>
  <si>
    <t>Run-rate dis-synergies</t>
  </si>
  <si>
    <t>Expected dis-synergies.</t>
  </si>
  <si>
    <t>Underwritten synergy realization</t>
  </si>
  <si>
    <t>Base realization of underwritten synergies.</t>
  </si>
  <si>
    <t>Speculative upside synergies</t>
  </si>
  <si>
    <t>Upside not included in underwritten base.</t>
  </si>
  <si>
    <t>Target book equity</t>
  </si>
  <si>
    <t>Book value used for preliminary PPA.</t>
  </si>
  <si>
    <t>Inventory step-up</t>
  </si>
  <si>
    <t>Inventory fair-value step-up.</t>
  </si>
  <si>
    <t>Cash to balance sheet</t>
  </si>
  <si>
    <t>Required cash left at close.</t>
  </si>
  <si>
    <t>Other transaction adjustments</t>
  </si>
  <si>
    <t>Other uses of funds.</t>
  </si>
  <si>
    <t>Other financing</t>
  </si>
  <si>
    <t>Other sources of funds.</t>
  </si>
  <si>
    <t>Annual debt repayment %</t>
  </si>
  <si>
    <t>Optional debt paydown assumption.</t>
  </si>
  <si>
    <t>Line item</t>
  </si>
  <si>
    <t>Revenue</t>
  </si>
  <si>
    <t>Revenue growth</t>
  </si>
  <si>
    <t>EBITDA</t>
  </si>
  <si>
    <t>EBITDA margin</t>
  </si>
  <si>
    <t>D&amp;A</t>
  </si>
  <si>
    <t>EBIT</t>
  </si>
  <si>
    <t>Interest</t>
  </si>
  <si>
    <t>EBT</t>
  </si>
  <si>
    <t>Taxes</t>
  </si>
  <si>
    <t>Net income</t>
  </si>
  <si>
    <t>EPS</t>
  </si>
  <si>
    <t>Shares</t>
  </si>
  <si>
    <t>Cash flow metrics</t>
  </si>
  <si>
    <t>FCF conversion</t>
  </si>
  <si>
    <t>Free cash flow</t>
  </si>
  <si>
    <t>EPS-equivalent</t>
  </si>
  <si>
    <t>Shares or units</t>
  </si>
  <si>
    <t>Transaction mechanic</t>
  </si>
  <si>
    <t>Offer price</t>
  </si>
  <si>
    <t>Formula-linked to Control Panel and downstream schedules.</t>
  </si>
  <si>
    <t>Undisturbed price</t>
  </si>
  <si>
    <t>Premium</t>
  </si>
  <si>
    <t>Fully diluted target shares</t>
  </si>
  <si>
    <t>Equity purchase price</t>
  </si>
  <si>
    <t>Net debt</t>
  </si>
  <si>
    <t>Enterprise value</t>
  </si>
  <si>
    <t>Transaction fees</t>
  </si>
  <si>
    <t>Financing fees</t>
  </si>
  <si>
    <t>Cash consideration</t>
  </si>
  <si>
    <t>Stock consideration</t>
  </si>
  <si>
    <t>Debt/other consideration</t>
  </si>
  <si>
    <t>New debt financing</t>
  </si>
  <si>
    <t>Buyer shares issued</t>
  </si>
  <si>
    <t>Exchange ratio</t>
  </si>
  <si>
    <t>Pro forma shares</t>
  </si>
  <si>
    <t>Buyer ownership</t>
  </si>
  <si>
    <t>Target seller ownership</t>
  </si>
  <si>
    <t>Uses</t>
  </si>
  <si>
    <t>$mm</t>
  </si>
  <si>
    <t>Target net debt assumed/refinanced</t>
  </si>
  <si>
    <t>Transaction expenses</t>
  </si>
  <si>
    <t>Other adjustments</t>
  </si>
  <si>
    <t>Total uses</t>
  </si>
  <si>
    <t>Sources</t>
  </si>
  <si>
    <t>Cash on hand</t>
  </si>
  <si>
    <t>New debt</t>
  </si>
  <si>
    <t>Stock issued</t>
  </si>
  <si>
    <t>Total sources</t>
  </si>
  <si>
    <t>Sources and uses check</t>
  </si>
  <si>
    <t>Purchase accounting item</t>
  </si>
  <si>
    <t>Purchase consideration</t>
  </si>
  <si>
    <t>Preliminary PPA; replace with accounting memo for decision-grade use.</t>
  </si>
  <si>
    <t>Book value of target equity</t>
  </si>
  <si>
    <t>Asset step-ups</t>
  </si>
  <si>
    <t>Identifiable intangible assets</t>
  </si>
  <si>
    <t>Deferred tax liabilities</t>
  </si>
  <si>
    <t>Goodwill</t>
  </si>
  <si>
    <t>Debt issuance cost treatment</t>
  </si>
  <si>
    <t>Incremental intangible amortization</t>
  </si>
  <si>
    <t>Incremental PPE depreciation</t>
  </si>
  <si>
    <t>Total incremental amortization/D&amp;A</t>
  </si>
  <si>
    <t>Pro forma opening BS effect</t>
  </si>
  <si>
    <t>PPA bridge check</t>
  </si>
  <si>
    <t>Cash interest rate</t>
  </si>
  <si>
    <t>OID / financing fees</t>
  </si>
  <si>
    <t>Fee amortization</t>
  </si>
  <si>
    <t>Interest expense</t>
  </si>
  <si>
    <t>Debt repayment</t>
  </si>
  <si>
    <t>Pro forma debt balance</t>
  </si>
  <si>
    <t>PF EBITDA</t>
  </si>
  <si>
    <t>Debt / PF EBITDA</t>
  </si>
  <si>
    <t>Cash interest coverage</t>
  </si>
  <si>
    <t>Synergy ramp</t>
  </si>
  <si>
    <t>Gross cost synergies</t>
  </si>
  <si>
    <t>Revenue synergies</t>
  </si>
  <si>
    <t>Revenue synergy EBITDA</t>
  </si>
  <si>
    <t>Dis-synergies</t>
  </si>
  <si>
    <t>Underwritten EBITDA contribution</t>
  </si>
  <si>
    <t>Speculative upside</t>
  </si>
  <si>
    <t>Cost-to-achieve</t>
  </si>
  <si>
    <t>Tax effect</t>
  </si>
  <si>
    <t>Net income contribution</t>
  </si>
  <si>
    <t>Underwritten vs speculative flag</t>
  </si>
  <si>
    <t>Underwritten only; speculative upside excluded from base EPS</t>
  </si>
  <si>
    <t>Buyer revenue</t>
  </si>
  <si>
    <t>Target revenue</t>
  </si>
  <si>
    <t>Pro forma revenue</t>
  </si>
  <si>
    <t>Buyer EBITDA</t>
  </si>
  <si>
    <t>Target EBITDA</t>
  </si>
  <si>
    <t>Pro forma EBITDA</t>
  </si>
  <si>
    <t>Buyer net income</t>
  </si>
  <si>
    <t>Target net income</t>
  </si>
  <si>
    <t>Synergy net income contribution</t>
  </si>
  <si>
    <t>Purchase accounting amortization</t>
  </si>
  <si>
    <t>Incremental interest</t>
  </si>
  <si>
    <t>Lost cash interest</t>
  </si>
  <si>
    <t>Transaction adjustments</t>
  </si>
  <si>
    <t>Tax impact</t>
  </si>
  <si>
    <t>Pro forma net income</t>
  </si>
  <si>
    <t>Pro forma EPS</t>
  </si>
  <si>
    <t>Accretion / dilution %</t>
  </si>
  <si>
    <t>Contribution from synergies</t>
  </si>
  <si>
    <t>Contribution from financing</t>
  </si>
  <si>
    <t>Contribution from purchase accounting</t>
  </si>
  <si>
    <t>Contribution from transaction adjustments</t>
  </si>
  <si>
    <t>Break-even synergies</t>
  </si>
  <si>
    <t>Break-even offer price</t>
  </si>
  <si>
    <t>Synergy contribution as % of accretion</t>
  </si>
  <si>
    <t>Existing buyer shares</t>
  </si>
  <si>
    <t>New buyer shares issued</t>
  </si>
  <si>
    <t>EPS impact</t>
  </si>
  <si>
    <t>Share price sensitivity</t>
  </si>
  <si>
    <t>Accretion / dilution by offer premium and synergy realization</t>
  </si>
  <si>
    <t>Premium / Synergy</t>
  </si>
  <si>
    <t>Accretion / dilution by cash / stock mix and interest rate</t>
  </si>
  <si>
    <t>Cash mix / Rate</t>
  </si>
  <si>
    <t>Accretion / dilution by purchase multiple and synergy realization</t>
  </si>
  <si>
    <t>EV/EBITDA / Synergy</t>
  </si>
  <si>
    <t>Pro forma ownership by stock consideration and buyer share price</t>
  </si>
  <si>
    <t>Stock mix / Price</t>
  </si>
  <si>
    <t>Break-even synergy requirement by offer premium</t>
  </si>
  <si>
    <t>Offer premium</t>
  </si>
  <si>
    <t>Required pre-tax synergy</t>
  </si>
  <si>
    <t>Check</t>
  </si>
  <si>
    <t>Status</t>
  </si>
  <si>
    <t>What it protects</t>
  </si>
  <si>
    <t>Sources equal uses</t>
  </si>
  <si>
    <t>Sources and uses difference must be zero.</t>
  </si>
  <si>
    <t>Pro forma shares tie</t>
  </si>
  <si>
    <t>Ownership EPS and transaction assumptions must tie.</t>
  </si>
  <si>
    <t>Purchase accounting balances</t>
  </si>
  <si>
    <t>Goodwill bridge must reconcile.</t>
  </si>
  <si>
    <t>Goodwill calculation works</t>
  </si>
  <si>
    <t>Goodwill should not silently hardcode.</t>
  </si>
  <si>
    <t>Transaction EV bridges correctly</t>
  </si>
  <si>
    <t>EV equals equity purchase price plus net debt.</t>
  </si>
  <si>
    <t>Buyer + target + adjustments tie to PF P&amp;L</t>
  </si>
  <si>
    <t>PF net income must sum components.</t>
  </si>
  <si>
    <t>EPS calculation ties</t>
  </si>
  <si>
    <t>PF EPS equals PF NI / PF shares.</t>
  </si>
  <si>
    <t>Accretion/dilution calculation ties</t>
  </si>
  <si>
    <t>A/D formula must tie to EPS lines.</t>
  </si>
  <si>
    <t>No negative shares</t>
  </si>
  <si>
    <t>Share counts must be positive.</t>
  </si>
  <si>
    <t>No missing scenario selection</t>
  </si>
  <si>
    <t>Scenario must be selected.</t>
  </si>
  <si>
    <t>No external links</t>
  </si>
  <si>
    <t>Builder/test suite also verifies no xl/externalLinks parts.</t>
  </si>
  <si>
    <t>Consideration mix sums to 100%</t>
  </si>
  <si>
    <t>Cash + stock + other consideration mix must equal 100%.</t>
  </si>
  <si>
    <t>Topic</t>
  </si>
  <si>
    <t>Source / basis</t>
  </si>
  <si>
    <t>Confidence</t>
  </si>
  <si>
    <t>Open diligence items</t>
  </si>
  <si>
    <t>Source item</t>
  </si>
  <si>
    <t>Apex Systems FY2025 Form 10-K and latest investor presentation used for standalone net income, cash, debt, share count, and tax assumptions.</t>
  </si>
  <si>
    <t>provided</t>
  </si>
  <si>
    <t>2026-01-31</t>
  </si>
  <si>
    <t>Beacon Analytics management case and VDR financial package used for target standalone EBITDA, net income, debt, cash, and book equity.</t>
  </si>
  <si>
    <t>2026-02-01</t>
  </si>
  <si>
    <t>Draft merger agreement terms used for offer price, consideration mix, debt refinance assumption, and equity award treatment.</t>
  </si>
  <si>
    <t>2026-02-10</t>
  </si>
  <si>
    <t>Debt commitment paper used for new debt amount, cash funding, fees, interest rate, and lost cash interest assumptions.</t>
  </si>
  <si>
    <t>2026-02-12</t>
  </si>
  <si>
    <t>Integration workplan used for cost synergy ramp, revenue synergy contribution, dis-synergies, and cost-to-achieve assumptions.</t>
  </si>
  <si>
    <t>2026-02-08</t>
  </si>
  <si>
    <t>Preliminary purchase accounting memo used for intangible assets, amortization lives, PPE step-up, deferred tax liability, and goodwill bridge.</t>
  </si>
  <si>
    <t>2026-02-11</t>
  </si>
  <si>
    <t>Missing inputs</t>
  </si>
  <si>
    <t>None recorded</t>
  </si>
  <si>
    <t>Warnings</t>
  </si>
  <si>
    <t>At least some assumptions are placeholder-labeled; use Source Notes before senior circulation.</t>
  </si>
  <si>
    <t>Metric</t>
  </si>
  <si>
    <t>MD read</t>
  </si>
  <si>
    <t>Buyer</t>
  </si>
  <si>
    <t>Formula-linked output; review Source Notes for evidence status.</t>
  </si>
  <si>
    <t>Target</t>
  </si>
  <si>
    <t>Purchase price</t>
  </si>
  <si>
    <t>Cash / stock mix</t>
  </si>
  <si>
    <t>PF buyer ownership</t>
  </si>
  <si>
    <t>PF target seller ownership</t>
  </si>
  <si>
    <t>FY1 PF EPS</t>
  </si>
  <si>
    <t>FY1 accretion / dilution</t>
  </si>
  <si>
    <t>FY1 synergy contribution / share</t>
  </si>
  <si>
    <t>FY1 financing contribution / share</t>
  </si>
  <si>
    <t>FY1 purchase accounting contribution / share</t>
  </si>
  <si>
    <t>Breakeven synergies</t>
  </si>
  <si>
    <t>Top risks</t>
  </si>
</sst>
</file>

<file path=xl/styles.xml><?xml version="1.0" encoding="utf-8"?>
<styleSheet xmlns="http://schemas.openxmlformats.org/spreadsheetml/2006/main">
  <numFmts count="5">
    <numFmt numFmtId="164" formatCode="$#,##0.0"/>
    <numFmt numFmtId="165" formatCode="0.0%"/>
    <numFmt numFmtId="166" formatCode="$0.00"/>
    <numFmt numFmtId="167" formatCode="0.0"/>
    <numFmt numFmtId="168" formatCode="0.0x"/>
  </numFmts>
  <fonts count="6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61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1F4E78"/>
        <bgColor indexed="64"/>
      </patternFill>
    </fill>
  </fills>
  <borders count="5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0" borderId="1" xfId="0" applyFont="1" applyBorder="1"/>
    <xf numFmtId="0" fontId="0" fillId="3" borderId="2" xfId="0" applyFill="1" applyBorder="1"/>
    <xf numFmtId="0" fontId="2" fillId="4" borderId="3" xfId="0" applyFont="1" applyFill="1" applyBorder="1"/>
    <xf numFmtId="0" fontId="0" fillId="5" borderId="2" xfId="0" applyFill="1" applyBorder="1"/>
    <xf numFmtId="0" fontId="0" fillId="6" borderId="2" xfId="0" applyFill="1" applyBorder="1"/>
    <xf numFmtId="0" fontId="3" fillId="7" borderId="4" xfId="0" applyFont="1" applyFill="1" applyBorder="1"/>
    <xf numFmtId="0" fontId="0" fillId="0" borderId="1" xfId="0" applyBorder="1" applyAlignment="1">
      <alignment vertical="top" wrapText="1"/>
    </xf>
    <xf numFmtId="0" fontId="4" fillId="0" borderId="1" xfId="0" applyFont="1" applyBorder="1"/>
    <xf numFmtId="0" fontId="3" fillId="2" borderId="4" xfId="0" applyFont="1" applyFill="1" applyBorder="1" applyAlignment="1">
      <alignment horizontal="center"/>
    </xf>
    <xf numFmtId="164" fontId="0" fillId="3" borderId="1" xfId="0" applyNumberFormat="1" applyFill="1" applyBorder="1"/>
    <xf numFmtId="165" fontId="0" fillId="3" borderId="1" xfId="0" applyNumberFormat="1" applyFill="1" applyBorder="1"/>
    <xf numFmtId="166" fontId="0" fillId="3" borderId="1" xfId="0" applyNumberFormat="1" applyFill="1" applyBorder="1"/>
    <xf numFmtId="167" fontId="0" fillId="5" borderId="2" xfId="0" applyNumberFormat="1" applyFill="1" applyBorder="1"/>
    <xf numFmtId="164" fontId="0" fillId="5" borderId="2" xfId="0" applyNumberFormat="1" applyFill="1" applyBorder="1"/>
    <xf numFmtId="165" fontId="0" fillId="5" borderId="2" xfId="0" applyNumberFormat="1" applyFill="1" applyBorder="1"/>
    <xf numFmtId="1" fontId="3" fillId="2" borderId="4" xfId="0" applyNumberFormat="1" applyFont="1" applyFill="1" applyBorder="1" applyAlignment="1">
      <alignment horizontal="center"/>
    </xf>
    <xf numFmtId="167" fontId="0" fillId="3" borderId="1" xfId="0" applyNumberFormat="1" applyFill="1" applyBorder="1"/>
    <xf numFmtId="0" fontId="5" fillId="3" borderId="2" xfId="0" applyFont="1" applyFill="1" applyBorder="1"/>
    <xf numFmtId="168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  <dxfs count="2">
    <dxf>
      <fill>
        <patternFill>
          <bgColor rgb="FFFFF2CC"/>
        </patternFill>
      </fill>
      <border>
        <left style="thin">
          <color rgb="FFA6A6A6"/>
        </left>
        <right style="thin">
          <color rgb="FFA6A6A6"/>
        </right>
        <top style="thin">
          <color rgb="FFA6A6A6"/>
        </top>
        <bottom style="thin">
          <color rgb="FFA6A6A6"/>
        </bottom>
        <vertical/>
        <horizontal/>
      </border>
    </dxf>
    <dxf>
      <font>
        <b/>
        <color rgb="FF9C0006"/>
      </font>
      <fill>
        <patternFill>
          <bgColor rgb="FFF4CCCC"/>
        </patternFill>
      </fill>
      <border>
        <left style="thin">
          <color rgb="FFA6A6A6"/>
        </left>
        <right style="thin">
          <color rgb="FFA6A6A6"/>
        </right>
        <top style="thin">
          <color rgb="FFA6A6A6"/>
        </top>
        <bottom style="thin">
          <color rgb="FFA6A6A6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17365D"/>
  </sheetPr>
  <dimension ref="A1:I29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28.7109375" customWidth="1"/>
    <col min="2" max="6" width="24.7109375" customWidth="1"/>
    <col min="7" max="11" width="15.7109375" customWidth="1"/>
  </cols>
  <sheetData>
    <row r="1" spans="1:9" ht="24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3" t="s">
        <v>2</v>
      </c>
      <c r="D2" s="2" t="s">
        <v>3</v>
      </c>
      <c r="E2" s="3" t="s">
        <v>4</v>
      </c>
    </row>
    <row r="3" spans="1:9">
      <c r="A3" s="4" t="s">
        <v>5</v>
      </c>
      <c r="B3" s="5" t="s">
        <v>6</v>
      </c>
      <c r="C3" s="3" t="s">
        <v>7</v>
      </c>
      <c r="D3" s="6" t="s">
        <v>8</v>
      </c>
    </row>
    <row r="5" spans="1:9">
      <c r="A5" s="7" t="s">
        <v>9</v>
      </c>
      <c r="B5" s="8" t="s">
        <v>10</v>
      </c>
      <c r="C5" s="8"/>
      <c r="D5" s="8"/>
      <c r="E5" s="8"/>
      <c r="F5" s="8"/>
    </row>
    <row r="6" spans="1:9">
      <c r="A6" s="7" t="s">
        <v>11</v>
      </c>
      <c r="B6" s="6" t="s">
        <v>12</v>
      </c>
      <c r="C6" s="6"/>
      <c r="D6" s="6"/>
      <c r="E6" s="6"/>
      <c r="F6" s="6"/>
    </row>
    <row r="8" spans="1:9">
      <c r="A8" s="7" t="s">
        <v>13</v>
      </c>
    </row>
    <row r="9" spans="1:9">
      <c r="A9" s="9" t="s">
        <v>14</v>
      </c>
      <c r="B9" s="8" t="s">
        <v>15</v>
      </c>
    </row>
    <row r="10" spans="1:9">
      <c r="A10" s="9" t="s">
        <v>16</v>
      </c>
      <c r="B10" s="8" t="s">
        <v>17</v>
      </c>
    </row>
    <row r="11" spans="1:9">
      <c r="A11" s="9" t="s">
        <v>18</v>
      </c>
      <c r="B11" s="8" t="s">
        <v>19</v>
      </c>
    </row>
    <row r="12" spans="1:9">
      <c r="A12" s="9" t="s">
        <v>20</v>
      </c>
      <c r="B12" s="8" t="s">
        <v>19</v>
      </c>
    </row>
    <row r="13" spans="1:9">
      <c r="A13" s="9" t="s">
        <v>21</v>
      </c>
      <c r="B13" s="8" t="s">
        <v>19</v>
      </c>
    </row>
    <row r="14" spans="1:9">
      <c r="A14" s="9" t="s">
        <v>22</v>
      </c>
      <c r="B14" s="8" t="s">
        <v>19</v>
      </c>
    </row>
    <row r="15" spans="1:9">
      <c r="A15" s="9" t="s">
        <v>23</v>
      </c>
      <c r="B15" s="8" t="s">
        <v>19</v>
      </c>
    </row>
    <row r="16" spans="1:9">
      <c r="A16" s="9" t="s">
        <v>24</v>
      </c>
      <c r="B16" s="8" t="s">
        <v>19</v>
      </c>
    </row>
    <row r="17" spans="1:6">
      <c r="A17" s="9" t="s">
        <v>25</v>
      </c>
      <c r="B17" s="8" t="s">
        <v>19</v>
      </c>
    </row>
    <row r="18" spans="1:6">
      <c r="A18" s="9" t="s">
        <v>26</v>
      </c>
      <c r="B18" s="8" t="s">
        <v>19</v>
      </c>
    </row>
    <row r="19" spans="1:6">
      <c r="A19" s="9" t="s">
        <v>27</v>
      </c>
      <c r="B19" s="8" t="s">
        <v>19</v>
      </c>
    </row>
    <row r="20" spans="1:6">
      <c r="A20" s="9" t="s">
        <v>28</v>
      </c>
      <c r="B20" s="8" t="s">
        <v>19</v>
      </c>
    </row>
    <row r="21" spans="1:6">
      <c r="A21" s="9" t="s">
        <v>29</v>
      </c>
      <c r="B21" s="8" t="s">
        <v>19</v>
      </c>
    </row>
    <row r="22" spans="1:6">
      <c r="A22" s="9" t="s">
        <v>30</v>
      </c>
      <c r="B22" s="8" t="s">
        <v>31</v>
      </c>
    </row>
    <row r="23" spans="1:6">
      <c r="A23" s="9" t="s">
        <v>32</v>
      </c>
      <c r="B23" s="8" t="s">
        <v>33</v>
      </c>
    </row>
    <row r="26" spans="1:6">
      <c r="A26" s="7" t="s">
        <v>34</v>
      </c>
      <c r="B26" s="8" t="s">
        <v>35</v>
      </c>
      <c r="C26" s="8"/>
      <c r="D26" s="8"/>
      <c r="E26" s="8"/>
      <c r="F26" s="8"/>
    </row>
    <row r="27" spans="1:6">
      <c r="B27" s="8"/>
      <c r="C27" s="8"/>
      <c r="D27" s="8"/>
      <c r="E27" s="8"/>
      <c r="F27" s="8"/>
    </row>
    <row r="28" spans="1:6">
      <c r="B28" s="8"/>
      <c r="C28" s="8"/>
      <c r="D28" s="8"/>
      <c r="E28" s="8"/>
      <c r="F28" s="8"/>
    </row>
    <row r="29" spans="1:6">
      <c r="B29" s="8"/>
      <c r="C29" s="8"/>
      <c r="D29" s="8"/>
      <c r="E29" s="8"/>
      <c r="F29" s="8"/>
    </row>
  </sheetData>
  <mergeCells count="4">
    <mergeCell ref="A1:I1"/>
    <mergeCell ref="B5:F5"/>
    <mergeCell ref="B6:F6"/>
    <mergeCell ref="B26:F29"/>
  </mergeCells>
  <conditionalFormatting sqref="A1:M81">
    <cfRule type="containsText" dxfId="1" priority="1" operator="containsText" text="FAIL">
      <formula>NOT(ISERROR(SEARCH("FAIL",A1)))</formula>
    </cfRule>
    <cfRule type="containsText" dxfId="0" priority="2" operator="containsText" text="placeholder">
      <formula>NOT(ISERROR(SEARCH("placeholder",A1)))</formula>
    </cfRule>
  </conditionalFormatting>
  <hyperlinks>
    <hyperlink ref="A9" location="'Executive Summary'!A1" display="Executive Summary"/>
    <hyperlink ref="A10" location="'Control Panel'!A1" display="Control Panel"/>
    <hyperlink ref="A11" location="'Buyer Standalone'!A1" display="Buyer Standalone"/>
    <hyperlink ref="A12" location="'Target Standalone'!A1" display="Target Standalone"/>
    <hyperlink ref="A13" location="'Transaction Assumptions'!A1" display="Transaction Assumptions"/>
    <hyperlink ref="A14" location="'Sources &amp; Uses'!A1" display="Sources &amp; Uses"/>
    <hyperlink ref="A15" location="'Purchase Accounting'!A1" display="Purchase Accounting"/>
    <hyperlink ref="A16" location="'Financing Assumptions'!A1" display="Financing Assumptions"/>
    <hyperlink ref="A17" location="'Synergies'!A1" display="Synergies"/>
    <hyperlink ref="A18" location="'Pro Forma Income Statement'!A1" display="Pro Forma Income Statement"/>
    <hyperlink ref="A19" location="'Accretion Dilution'!A1" display="Accretion Dilution"/>
    <hyperlink ref="A20" location="'Ownership EPS'!A1" display="Ownership EPS"/>
    <hyperlink ref="A21" location="'Sensitivities'!A1" display="Sensitivities"/>
    <hyperlink ref="A22" location="'Checks'!A1" display="Checks"/>
    <hyperlink ref="A23" location="'Source Notes'!A1" display="Source Notes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7365D"/>
  </sheetPr>
  <dimension ref="A1:I20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6.7109375" customWidth="1"/>
    <col min="2" max="6" width="20.7109375" customWidth="1"/>
    <col min="7" max="11" width="15.7109375" customWidth="1"/>
  </cols>
  <sheetData>
    <row r="1" spans="1:9" ht="24" customHeight="1">
      <c r="A1" s="1" t="s">
        <v>14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3" t="s">
        <v>2</v>
      </c>
      <c r="D2" s="2" t="s">
        <v>3</v>
      </c>
      <c r="E2" s="3" t="s">
        <v>4</v>
      </c>
    </row>
    <row r="3" spans="1:9">
      <c r="A3" s="4" t="s">
        <v>5</v>
      </c>
      <c r="B3" s="5" t="s">
        <v>6</v>
      </c>
      <c r="C3" s="3" t="s">
        <v>7</v>
      </c>
      <c r="D3" s="6" t="s">
        <v>8</v>
      </c>
    </row>
    <row r="5" spans="1:9">
      <c r="A5" s="10" t="s">
        <v>322</v>
      </c>
      <c r="B5" s="10" t="s">
        <v>7</v>
      </c>
      <c r="C5" s="10" t="s">
        <v>323</v>
      </c>
    </row>
    <row r="6" spans="1:9">
      <c r="A6" s="9" t="s">
        <v>324</v>
      </c>
      <c r="B6" s="3">
        <f>'Control Panel'!$B$5</f>
        <v>0</v>
      </c>
      <c r="C6" s="8" t="s">
        <v>325</v>
      </c>
    </row>
    <row r="7" spans="1:9">
      <c r="A7" s="9" t="s">
        <v>326</v>
      </c>
      <c r="B7" s="3">
        <f>'Control Panel'!$B$6</f>
        <v>0</v>
      </c>
      <c r="C7" s="8" t="s">
        <v>325</v>
      </c>
    </row>
    <row r="8" spans="1:9">
      <c r="A8" s="2" t="s">
        <v>327</v>
      </c>
      <c r="B8" s="11">
        <f>'Transaction Assumptions'!B10</f>
        <v>0</v>
      </c>
      <c r="C8" s="8" t="s">
        <v>325</v>
      </c>
    </row>
    <row r="9" spans="1:9">
      <c r="A9" s="9" t="s">
        <v>66</v>
      </c>
      <c r="B9" s="11">
        <f>'Transaction Assumptions'!B12</f>
        <v>0</v>
      </c>
      <c r="C9" s="8" t="s">
        <v>325</v>
      </c>
    </row>
    <row r="10" spans="1:9">
      <c r="A10" s="9" t="s">
        <v>328</v>
      </c>
      <c r="B10" s="3">
        <f>'Control Panel'!B19&amp;" / "&amp;'Control Panel'!B20</f>
        <v>0</v>
      </c>
      <c r="C10" s="8" t="s">
        <v>325</v>
      </c>
    </row>
    <row r="11" spans="1:9">
      <c r="A11" s="9" t="s">
        <v>195</v>
      </c>
      <c r="B11" s="11">
        <f>'Financing Assumptions'!B6</f>
        <v>0</v>
      </c>
      <c r="C11" s="8" t="s">
        <v>325</v>
      </c>
    </row>
    <row r="12" spans="1:9">
      <c r="A12" s="9" t="s">
        <v>329</v>
      </c>
      <c r="B12" s="12">
        <f>'Ownership EPS'!B9</f>
        <v>0</v>
      </c>
      <c r="C12" s="8" t="s">
        <v>325</v>
      </c>
    </row>
    <row r="13" spans="1:9">
      <c r="A13" s="9" t="s">
        <v>330</v>
      </c>
      <c r="B13" s="12">
        <f>'Ownership EPS'!B10</f>
        <v>0</v>
      </c>
      <c r="C13" s="8" t="s">
        <v>325</v>
      </c>
    </row>
    <row r="14" spans="1:9">
      <c r="A14" s="9" t="s">
        <v>331</v>
      </c>
      <c r="B14" s="13">
        <f>'Pro Forma Income Statement'!B24</f>
        <v>0</v>
      </c>
      <c r="C14" s="8" t="s">
        <v>325</v>
      </c>
    </row>
    <row r="15" spans="1:9">
      <c r="A15" s="2" t="s">
        <v>332</v>
      </c>
      <c r="B15" s="12">
        <f>'Accretion Dilution'!B8</f>
        <v>0</v>
      </c>
      <c r="C15" s="8" t="s">
        <v>325</v>
      </c>
    </row>
    <row r="16" spans="1:9">
      <c r="A16" s="9" t="s">
        <v>333</v>
      </c>
      <c r="B16" s="13">
        <f>'Accretion Dilution'!B9</f>
        <v>0</v>
      </c>
      <c r="C16" s="8" t="s">
        <v>325</v>
      </c>
    </row>
    <row r="17" spans="1:3">
      <c r="A17" s="9" t="s">
        <v>334</v>
      </c>
      <c r="B17" s="13">
        <f>'Accretion Dilution'!B10</f>
        <v>0</v>
      </c>
      <c r="C17" s="8" t="s">
        <v>325</v>
      </c>
    </row>
    <row r="18" spans="1:3">
      <c r="A18" s="9" t="s">
        <v>335</v>
      </c>
      <c r="B18" s="13">
        <f>'Accretion Dilution'!B11</f>
        <v>0</v>
      </c>
      <c r="C18" s="8" t="s">
        <v>325</v>
      </c>
    </row>
    <row r="19" spans="1:3">
      <c r="A19" s="9" t="s">
        <v>336</v>
      </c>
      <c r="B19" s="11">
        <f>'Accretion Dilution'!B13</f>
        <v>0</v>
      </c>
      <c r="C19" s="8" t="s">
        <v>325</v>
      </c>
    </row>
    <row r="20" spans="1:3">
      <c r="A20" s="2" t="s">
        <v>337</v>
      </c>
      <c r="B20" s="3">
        <f>"Placeholder assumptions; verify PPA, financing, synergy timing, and source evidence before senior circulation."</f>
        <v>0</v>
      </c>
      <c r="C20" s="8" t="s">
        <v>325</v>
      </c>
    </row>
  </sheetData>
  <mergeCells count="1">
    <mergeCell ref="A1:I1"/>
  </mergeCells>
  <conditionalFormatting sqref="A1:M81">
    <cfRule type="containsText" dxfId="1" priority="1" operator="containsText" text="FAIL">
      <formula>NOT(ISERROR(SEARCH("FAIL",A1)))</formula>
    </cfRule>
    <cfRule type="containsText" dxfId="0" priority="2" operator="containsText" text="placeholder">
      <formula>NOT(ISERROR(SEARCH("placeholder",A1)))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17365D"/>
  </sheetPr>
  <dimension ref="A1:I62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/>
  <cols>
    <col min="1" max="1" width="34.7109375" customWidth="1"/>
    <col min="2" max="2" width="20.7109375" customWidth="1"/>
    <col min="3" max="3" width="60.7109375" customWidth="1"/>
    <col min="4" max="11" width="15.7109375" customWidth="1"/>
  </cols>
  <sheetData>
    <row r="1" spans="1:9" ht="24" customHeight="1">
      <c r="A1" s="1" t="s">
        <v>16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3" t="s">
        <v>2</v>
      </c>
      <c r="D2" s="2" t="s">
        <v>3</v>
      </c>
      <c r="E2" s="3" t="s">
        <v>4</v>
      </c>
    </row>
    <row r="3" spans="1:9">
      <c r="A3" s="4" t="s">
        <v>5</v>
      </c>
      <c r="B3" s="5" t="s">
        <v>6</v>
      </c>
      <c r="C3" s="3" t="s">
        <v>7</v>
      </c>
      <c r="D3" s="6" t="s">
        <v>8</v>
      </c>
    </row>
    <row r="5" spans="1:9">
      <c r="A5" s="10" t="s">
        <v>36</v>
      </c>
      <c r="B5" s="10" t="s">
        <v>37</v>
      </c>
      <c r="C5" s="10" t="s">
        <v>38</v>
      </c>
    </row>
    <row r="6" spans="1:9">
      <c r="A6" s="9" t="s">
        <v>39</v>
      </c>
      <c r="B6" s="5" t="s">
        <v>40</v>
      </c>
      <c r="C6" s="9" t="s">
        <v>41</v>
      </c>
    </row>
    <row r="7" spans="1:9">
      <c r="A7" s="9" t="s">
        <v>42</v>
      </c>
      <c r="B7" s="5" t="s">
        <v>43</v>
      </c>
      <c r="C7" s="9" t="s">
        <v>44</v>
      </c>
    </row>
    <row r="8" spans="1:9">
      <c r="A8" s="9" t="s">
        <v>45</v>
      </c>
      <c r="B8" s="14">
        <v>2026</v>
      </c>
      <c r="C8" s="9" t="s">
        <v>46</v>
      </c>
    </row>
    <row r="9" spans="1:9">
      <c r="A9" s="9" t="s">
        <v>47</v>
      </c>
      <c r="B9" s="14">
        <v>2026</v>
      </c>
      <c r="C9" s="9" t="s">
        <v>48</v>
      </c>
    </row>
    <row r="10" spans="1:9">
      <c r="A10" s="9" t="s">
        <v>49</v>
      </c>
      <c r="B10" s="14">
        <v>5</v>
      </c>
      <c r="C10" s="9" t="s">
        <v>50</v>
      </c>
    </row>
    <row r="11" spans="1:9">
      <c r="A11" s="9" t="s">
        <v>51</v>
      </c>
      <c r="B11" s="5">
        <v>72.5</v>
      </c>
      <c r="C11" s="9" t="s">
        <v>52</v>
      </c>
    </row>
    <row r="12" spans="1:9">
      <c r="A12" s="9" t="s">
        <v>53</v>
      </c>
      <c r="B12" s="14">
        <v>410</v>
      </c>
      <c r="C12" s="9" t="s">
        <v>54</v>
      </c>
    </row>
    <row r="13" spans="1:9">
      <c r="A13" s="9" t="s">
        <v>55</v>
      </c>
      <c r="B13" s="14">
        <v>410</v>
      </c>
      <c r="C13" s="9" t="s">
        <v>54</v>
      </c>
    </row>
    <row r="14" spans="1:9">
      <c r="A14" s="9" t="s">
        <v>56</v>
      </c>
      <c r="B14" s="5">
        <v>3.2195</v>
      </c>
      <c r="C14" s="9" t="s">
        <v>57</v>
      </c>
    </row>
    <row r="15" spans="1:9">
      <c r="A15" s="9" t="s">
        <v>58</v>
      </c>
      <c r="B15" s="5">
        <v>32</v>
      </c>
      <c r="C15" s="9" t="s">
        <v>59</v>
      </c>
    </row>
    <row r="16" spans="1:9">
      <c r="A16" s="9" t="s">
        <v>60</v>
      </c>
      <c r="B16" s="5">
        <v>25</v>
      </c>
      <c r="C16" s="9" t="s">
        <v>61</v>
      </c>
    </row>
    <row r="17" spans="1:3">
      <c r="A17" s="9" t="s">
        <v>62</v>
      </c>
      <c r="B17" s="14">
        <v>95</v>
      </c>
      <c r="C17" s="9" t="s">
        <v>63</v>
      </c>
    </row>
    <row r="18" spans="1:3">
      <c r="A18" s="9" t="s">
        <v>64</v>
      </c>
      <c r="B18" s="15">
        <v>350</v>
      </c>
      <c r="C18" s="9" t="s">
        <v>65</v>
      </c>
    </row>
    <row r="19" spans="1:3">
      <c r="A19" s="2" t="s">
        <v>66</v>
      </c>
      <c r="B19" s="5"/>
      <c r="C19" s="8" t="s">
        <v>67</v>
      </c>
    </row>
    <row r="20" spans="1:3">
      <c r="A20" s="9" t="s">
        <v>68</v>
      </c>
      <c r="B20" s="16">
        <v>0.55</v>
      </c>
      <c r="C20" s="9" t="s">
        <v>69</v>
      </c>
    </row>
    <row r="21" spans="1:3">
      <c r="A21" s="9" t="s">
        <v>70</v>
      </c>
      <c r="B21" s="16">
        <v>0.45</v>
      </c>
      <c r="C21" s="9" t="s">
        <v>71</v>
      </c>
    </row>
    <row r="22" spans="1:3">
      <c r="A22" s="9" t="s">
        <v>72</v>
      </c>
      <c r="B22" s="16">
        <v>0</v>
      </c>
      <c r="C22" s="9" t="s">
        <v>73</v>
      </c>
    </row>
    <row r="23" spans="1:3">
      <c r="A23" s="9" t="s">
        <v>74</v>
      </c>
      <c r="B23" s="15">
        <v>1800</v>
      </c>
      <c r="C23" s="9" t="s">
        <v>75</v>
      </c>
    </row>
    <row r="24" spans="1:3">
      <c r="A24" s="9" t="s">
        <v>76</v>
      </c>
      <c r="B24" s="16">
        <v>0.065</v>
      </c>
      <c r="C24" s="9" t="s">
        <v>77</v>
      </c>
    </row>
    <row r="25" spans="1:3">
      <c r="A25" s="9" t="s">
        <v>78</v>
      </c>
      <c r="B25" s="16">
        <v>0.025</v>
      </c>
      <c r="C25" s="9" t="s">
        <v>79</v>
      </c>
    </row>
    <row r="26" spans="1:3">
      <c r="A26" s="9" t="s">
        <v>80</v>
      </c>
      <c r="B26" s="16">
        <v>0.24</v>
      </c>
      <c r="C26" s="9" t="s">
        <v>81</v>
      </c>
    </row>
    <row r="27" spans="1:3">
      <c r="A27" s="9" t="s">
        <v>82</v>
      </c>
      <c r="B27" s="16">
        <v>0.3</v>
      </c>
      <c r="C27" s="9" t="s">
        <v>83</v>
      </c>
    </row>
    <row r="28" spans="1:3">
      <c r="A28" s="9" t="s">
        <v>84</v>
      </c>
      <c r="B28" s="16">
        <v>0.7</v>
      </c>
      <c r="C28" s="9" t="s">
        <v>85</v>
      </c>
    </row>
    <row r="29" spans="1:3">
      <c r="A29" s="9" t="s">
        <v>86</v>
      </c>
      <c r="B29" s="16">
        <v>1</v>
      </c>
      <c r="C29" s="9" t="s">
        <v>87</v>
      </c>
    </row>
    <row r="30" spans="1:3">
      <c r="A30" s="9" t="s">
        <v>88</v>
      </c>
      <c r="B30" s="16">
        <v>0.8</v>
      </c>
      <c r="C30" s="9" t="s">
        <v>89</v>
      </c>
    </row>
    <row r="31" spans="1:3">
      <c r="A31" s="9" t="s">
        <v>90</v>
      </c>
      <c r="B31" s="15">
        <v>1400</v>
      </c>
      <c r="C31" s="9" t="s">
        <v>91</v>
      </c>
    </row>
    <row r="32" spans="1:3">
      <c r="A32" s="9" t="s">
        <v>92</v>
      </c>
      <c r="B32" s="14">
        <v>9.464285714285714</v>
      </c>
      <c r="C32" s="9" t="s">
        <v>93</v>
      </c>
    </row>
    <row r="33" spans="1:3">
      <c r="A33" s="9" t="s">
        <v>94</v>
      </c>
      <c r="B33" s="15">
        <v>180</v>
      </c>
      <c r="C33" s="9" t="s">
        <v>95</v>
      </c>
    </row>
    <row r="34" spans="1:3">
      <c r="A34" s="9" t="s">
        <v>96</v>
      </c>
      <c r="B34" s="14">
        <v>8</v>
      </c>
      <c r="C34" s="9" t="s">
        <v>97</v>
      </c>
    </row>
    <row r="35" spans="1:3">
      <c r="A35" s="2" t="s">
        <v>98</v>
      </c>
      <c r="B35" s="11">
        <f>'Purchase Accounting'!B16</f>
        <v>0</v>
      </c>
      <c r="C35" s="8" t="s">
        <v>99</v>
      </c>
    </row>
    <row r="36" spans="1:3">
      <c r="A36" s="9" t="s">
        <v>100</v>
      </c>
      <c r="B36" s="16">
        <v>0.03055555555555555</v>
      </c>
      <c r="C36" s="9" t="s">
        <v>101</v>
      </c>
    </row>
    <row r="37" spans="1:3">
      <c r="A37" s="9" t="s">
        <v>102</v>
      </c>
      <c r="B37" s="16">
        <v>0.02359882005899705</v>
      </c>
      <c r="C37" s="9" t="s">
        <v>103</v>
      </c>
    </row>
    <row r="38" spans="1:3">
      <c r="A38" s="9" t="s">
        <v>104</v>
      </c>
      <c r="B38" s="5" t="s">
        <v>105</v>
      </c>
      <c r="C38" s="9" t="s">
        <v>106</v>
      </c>
    </row>
    <row r="39" spans="1:3">
      <c r="A39" s="9" t="s">
        <v>107</v>
      </c>
      <c r="B39" s="15">
        <v>10000</v>
      </c>
      <c r="C39" s="9" t="s">
        <v>108</v>
      </c>
    </row>
    <row r="40" spans="1:3">
      <c r="A40" s="9" t="s">
        <v>109</v>
      </c>
      <c r="B40" s="16">
        <v>0.055</v>
      </c>
      <c r="C40" s="9" t="s">
        <v>110</v>
      </c>
    </row>
    <row r="41" spans="1:3">
      <c r="A41" s="9" t="s">
        <v>111</v>
      </c>
      <c r="B41" s="16">
        <v>0.285</v>
      </c>
      <c r="C41" s="9" t="s">
        <v>112</v>
      </c>
    </row>
    <row r="42" spans="1:3">
      <c r="A42" s="9" t="s">
        <v>113</v>
      </c>
      <c r="B42" s="16">
        <v>0.042</v>
      </c>
      <c r="C42" s="9" t="s">
        <v>114</v>
      </c>
    </row>
    <row r="43" spans="1:3">
      <c r="A43" s="9" t="s">
        <v>115</v>
      </c>
      <c r="B43" s="15">
        <v>120</v>
      </c>
      <c r="C43" s="9" t="s">
        <v>116</v>
      </c>
    </row>
    <row r="44" spans="1:3">
      <c r="A44" s="9" t="s">
        <v>117</v>
      </c>
      <c r="B44" s="16">
        <v>0.82</v>
      </c>
      <c r="C44" s="9" t="s">
        <v>118</v>
      </c>
    </row>
    <row r="45" spans="1:3">
      <c r="A45" s="9" t="s">
        <v>119</v>
      </c>
      <c r="B45" s="15">
        <v>1550</v>
      </c>
      <c r="C45" s="9" t="s">
        <v>108</v>
      </c>
    </row>
    <row r="46" spans="1:3">
      <c r="A46" s="9" t="s">
        <v>120</v>
      </c>
      <c r="B46" s="16">
        <v>0.075</v>
      </c>
      <c r="C46" s="9" t="s">
        <v>110</v>
      </c>
    </row>
    <row r="47" spans="1:3">
      <c r="A47" s="9" t="s">
        <v>121</v>
      </c>
      <c r="B47" s="16">
        <v>0.295</v>
      </c>
      <c r="C47" s="9" t="s">
        <v>112</v>
      </c>
    </row>
    <row r="48" spans="1:3">
      <c r="A48" s="9" t="s">
        <v>122</v>
      </c>
      <c r="B48" s="16">
        <v>0.05</v>
      </c>
      <c r="C48" s="9" t="s">
        <v>114</v>
      </c>
    </row>
    <row r="49" spans="1:3">
      <c r="A49" s="9" t="s">
        <v>123</v>
      </c>
      <c r="B49" s="15">
        <v>38</v>
      </c>
      <c r="C49" s="9" t="s">
        <v>116</v>
      </c>
    </row>
    <row r="50" spans="1:3">
      <c r="A50" s="9" t="s">
        <v>124</v>
      </c>
      <c r="B50" s="16">
        <v>0.74</v>
      </c>
      <c r="C50" s="9" t="s">
        <v>118</v>
      </c>
    </row>
    <row r="51" spans="1:3">
      <c r="A51" s="9" t="s">
        <v>125</v>
      </c>
      <c r="B51" s="15">
        <v>220</v>
      </c>
      <c r="C51" s="9" t="s">
        <v>126</v>
      </c>
    </row>
    <row r="52" spans="1:3">
      <c r="A52" s="9" t="s">
        <v>127</v>
      </c>
      <c r="B52" s="15">
        <v>140</v>
      </c>
      <c r="C52" s="9" t="s">
        <v>128</v>
      </c>
    </row>
    <row r="53" spans="1:3">
      <c r="A53" s="9" t="s">
        <v>129</v>
      </c>
      <c r="B53" s="16">
        <v>0.32</v>
      </c>
      <c r="C53" s="9" t="s">
        <v>130</v>
      </c>
    </row>
    <row r="54" spans="1:3">
      <c r="A54" s="9" t="s">
        <v>131</v>
      </c>
      <c r="B54" s="15">
        <v>20</v>
      </c>
      <c r="C54" s="9" t="s">
        <v>132</v>
      </c>
    </row>
    <row r="55" spans="1:3">
      <c r="A55" s="9" t="s">
        <v>133</v>
      </c>
      <c r="B55" s="16">
        <v>1</v>
      </c>
      <c r="C55" s="9" t="s">
        <v>134</v>
      </c>
    </row>
    <row r="56" spans="1:3">
      <c r="A56" s="9" t="s">
        <v>135</v>
      </c>
      <c r="B56" s="15">
        <v>50</v>
      </c>
      <c r="C56" s="9" t="s">
        <v>136</v>
      </c>
    </row>
    <row r="57" spans="1:3">
      <c r="A57" s="9" t="s">
        <v>137</v>
      </c>
      <c r="B57" s="15">
        <v>900</v>
      </c>
      <c r="C57" s="9" t="s">
        <v>138</v>
      </c>
    </row>
    <row r="58" spans="1:3">
      <c r="A58" s="9" t="s">
        <v>139</v>
      </c>
      <c r="B58" s="15">
        <v>30</v>
      </c>
      <c r="C58" s="9" t="s">
        <v>140</v>
      </c>
    </row>
    <row r="59" spans="1:3">
      <c r="A59" s="9" t="s">
        <v>141</v>
      </c>
      <c r="B59" s="15">
        <v>100</v>
      </c>
      <c r="C59" s="9" t="s">
        <v>142</v>
      </c>
    </row>
    <row r="60" spans="1:3">
      <c r="A60" s="9" t="s">
        <v>143</v>
      </c>
      <c r="B60" s="15">
        <v>0</v>
      </c>
      <c r="C60" s="9" t="s">
        <v>144</v>
      </c>
    </row>
    <row r="61" spans="1:3">
      <c r="A61" s="9" t="s">
        <v>145</v>
      </c>
      <c r="B61" s="15">
        <v>0</v>
      </c>
      <c r="C61" s="9" t="s">
        <v>146</v>
      </c>
    </row>
    <row r="62" spans="1:3">
      <c r="A62" s="9" t="s">
        <v>147</v>
      </c>
      <c r="B62" s="16">
        <v>0</v>
      </c>
      <c r="C62" s="9" t="s">
        <v>148</v>
      </c>
    </row>
  </sheetData>
  <mergeCells count="1">
    <mergeCell ref="A1:I1"/>
  </mergeCells>
  <conditionalFormatting sqref="A1:M81">
    <cfRule type="containsText" dxfId="1" priority="2" operator="containsText" text="FAIL">
      <formula>NOT(ISERROR(SEARCH("FAIL",A1)))</formula>
    </cfRule>
    <cfRule type="containsText" dxfId="0" priority="3" operator="containsText" text="placeholder">
      <formula>NOT(ISERROR(SEARCH("placeholder",A1)))</formula>
    </cfRule>
  </conditionalFormatting>
  <conditionalFormatting sqref="B6:B63">
    <cfRule type="containsBlanks" dxfId="0" priority="1">
      <formula>LEN(TRIM(B6))=0</formula>
    </cfRule>
  </conditionalFormatting>
  <dataValidations count="1">
    <dataValidation type="list" allowBlank="1" showInputMessage="1" showErrorMessage="1" sqref="B38">
      <formula1>"Base,Downside,Upside"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17365D"/>
  </sheetPr>
  <dimension ref="A1:I20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0.7109375" customWidth="1"/>
    <col min="2" max="11" width="15.7109375" customWidth="1"/>
  </cols>
  <sheetData>
    <row r="1" spans="1:9" ht="24" customHeight="1">
      <c r="A1" s="1" t="s">
        <v>18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3" t="s">
        <v>2</v>
      </c>
      <c r="D2" s="2" t="s">
        <v>3</v>
      </c>
      <c r="E2" s="3" t="s">
        <v>4</v>
      </c>
    </row>
    <row r="3" spans="1:9">
      <c r="A3" s="4" t="s">
        <v>5</v>
      </c>
      <c r="B3" s="5" t="s">
        <v>6</v>
      </c>
      <c r="C3" s="3" t="s">
        <v>7</v>
      </c>
      <c r="D3" s="6" t="s">
        <v>8</v>
      </c>
    </row>
    <row r="5" spans="1:9">
      <c r="A5" s="10" t="s">
        <v>149</v>
      </c>
      <c r="B5" s="17">
        <f>'Control Panel'!$B$8</f>
        <v>2026</v>
      </c>
      <c r="C5" s="17">
        <f>B5+1</f>
        <v>2027</v>
      </c>
      <c r="D5" s="17">
        <f>C5+1</f>
        <v>2028</v>
      </c>
      <c r="E5" s="17">
        <f>D5+1</f>
        <v>2029</v>
      </c>
      <c r="F5" s="17">
        <f>E5+1</f>
        <v>2030</v>
      </c>
    </row>
    <row r="6" spans="1:9">
      <c r="A6" s="2" t="s">
        <v>150</v>
      </c>
      <c r="B6" s="11">
        <f>'Control Panel'!$B$38*(1+'Control Panel'!$B$39)</f>
        <v>0</v>
      </c>
      <c r="C6" s="11">
        <f>B6*(1+'Control Panel'!$B$39)</f>
        <v>0</v>
      </c>
      <c r="D6" s="11">
        <f>C6*(1+'Control Panel'!$B$39)</f>
        <v>0</v>
      </c>
      <c r="E6" s="11">
        <f>D6*(1+'Control Panel'!$B$39)</f>
        <v>0</v>
      </c>
      <c r="F6" s="11">
        <f>E6*(1+'Control Panel'!$B$39)</f>
        <v>0</v>
      </c>
    </row>
    <row r="7" spans="1:9">
      <c r="A7" s="9" t="s">
        <v>151</v>
      </c>
      <c r="B7" s="12">
        <f>'Control Panel'!$B$39</f>
        <v>0</v>
      </c>
      <c r="C7" s="12">
        <f>C6/B6-1</f>
        <v>0</v>
      </c>
      <c r="D7" s="12">
        <f>D6/C6-1</f>
        <v>0</v>
      </c>
      <c r="E7" s="12">
        <f>E6/D6-1</f>
        <v>0</v>
      </c>
      <c r="F7" s="12">
        <f>F6/E6-1</f>
        <v>0</v>
      </c>
    </row>
    <row r="8" spans="1:9">
      <c r="A8" s="2" t="s">
        <v>152</v>
      </c>
      <c r="B8" s="11">
        <f>B6*'Control Panel'!$B$40</f>
        <v>0</v>
      </c>
      <c r="C8" s="11">
        <f>C6*'Control Panel'!$B$40</f>
        <v>0</v>
      </c>
      <c r="D8" s="11">
        <f>D6*'Control Panel'!$B$40</f>
        <v>0</v>
      </c>
      <c r="E8" s="11">
        <f>E6*'Control Panel'!$B$40</f>
        <v>0</v>
      </c>
      <c r="F8" s="11">
        <f>F6*'Control Panel'!$B$40</f>
        <v>0</v>
      </c>
    </row>
    <row r="9" spans="1:9">
      <c r="A9" s="9" t="s">
        <v>153</v>
      </c>
      <c r="B9" s="12">
        <f>B8/B6</f>
        <v>0</v>
      </c>
      <c r="C9" s="12">
        <f>C8/C6</f>
        <v>0</v>
      </c>
      <c r="D9" s="12">
        <f>D8/D6</f>
        <v>0</v>
      </c>
      <c r="E9" s="12">
        <f>E8/E6</f>
        <v>0</v>
      </c>
      <c r="F9" s="12">
        <f>F8/F6</f>
        <v>0</v>
      </c>
    </row>
    <row r="10" spans="1:9">
      <c r="A10" s="9" t="s">
        <v>154</v>
      </c>
      <c r="B10" s="11">
        <f>B6*'Control Panel'!$B$41</f>
        <v>0</v>
      </c>
      <c r="C10" s="11">
        <f>C6*'Control Panel'!$B$41</f>
        <v>0</v>
      </c>
      <c r="D10" s="11">
        <f>D6*'Control Panel'!$B$41</f>
        <v>0</v>
      </c>
      <c r="E10" s="11">
        <f>E6*'Control Panel'!$B$41</f>
        <v>0</v>
      </c>
      <c r="F10" s="11">
        <f>F6*'Control Panel'!$B$41</f>
        <v>0</v>
      </c>
    </row>
    <row r="11" spans="1:9">
      <c r="A11" s="9" t="s">
        <v>155</v>
      </c>
      <c r="B11" s="11">
        <f>B8-B10</f>
        <v>0</v>
      </c>
      <c r="C11" s="11">
        <f>C8-C10</f>
        <v>0</v>
      </c>
      <c r="D11" s="11">
        <f>D8-D10</f>
        <v>0</v>
      </c>
      <c r="E11" s="11">
        <f>E8-E10</f>
        <v>0</v>
      </c>
      <c r="F11" s="11">
        <f>F8-F10</f>
        <v>0</v>
      </c>
    </row>
    <row r="12" spans="1:9">
      <c r="A12" s="9" t="s">
        <v>156</v>
      </c>
      <c r="B12" s="11">
        <f>'Control Panel'!$B$42</f>
        <v>0</v>
      </c>
      <c r="C12" s="11">
        <f>'Control Panel'!$B$42</f>
        <v>0</v>
      </c>
      <c r="D12" s="11">
        <f>'Control Panel'!$B$42</f>
        <v>0</v>
      </c>
      <c r="E12" s="11">
        <f>'Control Panel'!$B$42</f>
        <v>0</v>
      </c>
      <c r="F12" s="11">
        <f>'Control Panel'!$B$42</f>
        <v>0</v>
      </c>
    </row>
    <row r="13" spans="1:9">
      <c r="A13" s="9" t="s">
        <v>157</v>
      </c>
      <c r="B13" s="11">
        <f>B11-B12</f>
        <v>0</v>
      </c>
      <c r="C13" s="11">
        <f>C11-C12</f>
        <v>0</v>
      </c>
      <c r="D13" s="11">
        <f>D11-D12</f>
        <v>0</v>
      </c>
      <c r="E13" s="11">
        <f>E11-E12</f>
        <v>0</v>
      </c>
      <c r="F13" s="11">
        <f>F11-F12</f>
        <v>0</v>
      </c>
    </row>
    <row r="14" spans="1:9">
      <c r="A14" s="9" t="s">
        <v>158</v>
      </c>
      <c r="B14" s="11">
        <f>B13*'Control Panel'!$B$25</f>
        <v>0</v>
      </c>
      <c r="C14" s="11">
        <f>C13*'Control Panel'!$B$25</f>
        <v>0</v>
      </c>
      <c r="D14" s="11">
        <f>D13*'Control Panel'!$B$25</f>
        <v>0</v>
      </c>
      <c r="E14" s="11">
        <f>E13*'Control Panel'!$B$25</f>
        <v>0</v>
      </c>
      <c r="F14" s="11">
        <f>F13*'Control Panel'!$B$25</f>
        <v>0</v>
      </c>
    </row>
    <row r="15" spans="1:9">
      <c r="A15" s="2" t="s">
        <v>159</v>
      </c>
      <c r="B15" s="11">
        <f>B13-B14</f>
        <v>0</v>
      </c>
      <c r="C15" s="11">
        <f>C13-C14</f>
        <v>0</v>
      </c>
      <c r="D15" s="11">
        <f>D13-D14</f>
        <v>0</v>
      </c>
      <c r="E15" s="11">
        <f>E13-E14</f>
        <v>0</v>
      </c>
      <c r="F15" s="11">
        <f>F13-F14</f>
        <v>0</v>
      </c>
    </row>
    <row r="16" spans="1:9">
      <c r="A16" s="2" t="s">
        <v>160</v>
      </c>
      <c r="B16" s="13">
        <f>B15/B17</f>
        <v>0</v>
      </c>
      <c r="C16" s="13">
        <f>C15/C17</f>
        <v>0</v>
      </c>
      <c r="D16" s="13">
        <f>D15/D17</f>
        <v>0</v>
      </c>
      <c r="E16" s="13">
        <f>E15/E17</f>
        <v>0</v>
      </c>
      <c r="F16" s="13">
        <f>F15/F17</f>
        <v>0</v>
      </c>
    </row>
    <row r="17" spans="1:6">
      <c r="A17" s="9" t="s">
        <v>161</v>
      </c>
      <c r="B17" s="18">
        <f>'Control Panel'!$B$12</f>
        <v>0</v>
      </c>
      <c r="C17" s="18">
        <f>'Control Panel'!$B$12</f>
        <v>0</v>
      </c>
      <c r="D17" s="18">
        <f>'Control Panel'!$B$12</f>
        <v>0</v>
      </c>
      <c r="E17" s="18">
        <f>'Control Panel'!$B$12</f>
        <v>0</v>
      </c>
      <c r="F17" s="18">
        <f>'Control Panel'!$B$12</f>
        <v>0</v>
      </c>
    </row>
    <row r="18" spans="1:6">
      <c r="A18" s="9" t="s">
        <v>162</v>
      </c>
      <c r="B18" s="11">
        <f>B15*'Control Panel'!$B$43</f>
        <v>0</v>
      </c>
      <c r="C18" s="11">
        <f>C15*'Control Panel'!$B$43</f>
        <v>0</v>
      </c>
      <c r="D18" s="11">
        <f>D15*'Control Panel'!$B$43</f>
        <v>0</v>
      </c>
      <c r="E18" s="11">
        <f>E15*'Control Panel'!$B$43</f>
        <v>0</v>
      </c>
      <c r="F18" s="11">
        <f>F15*'Control Panel'!$B$43</f>
        <v>0</v>
      </c>
    </row>
    <row r="19" spans="1:6">
      <c r="A19" s="9" t="s">
        <v>163</v>
      </c>
      <c r="B19" s="12">
        <f>'Control Panel'!$B$43</f>
        <v>0</v>
      </c>
      <c r="C19" s="12">
        <f>'Control Panel'!$B$43</f>
        <v>0</v>
      </c>
      <c r="D19" s="12">
        <f>'Control Panel'!$B$43</f>
        <v>0</v>
      </c>
      <c r="E19" s="12">
        <f>'Control Panel'!$B$43</f>
        <v>0</v>
      </c>
      <c r="F19" s="12">
        <f>'Control Panel'!$B$43</f>
        <v>0</v>
      </c>
    </row>
    <row r="20" spans="1:6">
      <c r="A20" s="2" t="s">
        <v>164</v>
      </c>
      <c r="B20" s="11">
        <f>B15*'Control Panel'!$B$43</f>
        <v>0</v>
      </c>
      <c r="C20" s="11">
        <f>C15*'Control Panel'!$B$43</f>
        <v>0</v>
      </c>
      <c r="D20" s="11">
        <f>D15*'Control Panel'!$B$43</f>
        <v>0</v>
      </c>
      <c r="E20" s="11">
        <f>E15*'Control Panel'!$B$43</f>
        <v>0</v>
      </c>
      <c r="F20" s="11">
        <f>F15*'Control Panel'!$B$43</f>
        <v>0</v>
      </c>
    </row>
  </sheetData>
  <mergeCells count="1">
    <mergeCell ref="A1:I1"/>
  </mergeCells>
  <conditionalFormatting sqref="A1:M81">
    <cfRule type="containsText" dxfId="1" priority="1" operator="containsText" text="FAIL">
      <formula>NOT(ISERROR(SEARCH("FAIL",A1)))</formula>
    </cfRule>
    <cfRule type="containsText" dxfId="0" priority="2" operator="containsText" text="placeholder">
      <formula>NOT(ISERROR(SEARCH("placeholder",A1)))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17365D"/>
  </sheetPr>
  <dimension ref="A1:I20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0.7109375" customWidth="1"/>
    <col min="2" max="11" width="15.7109375" customWidth="1"/>
  </cols>
  <sheetData>
    <row r="1" spans="1:9" ht="24" customHeight="1">
      <c r="A1" s="1" t="s">
        <v>20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3" t="s">
        <v>2</v>
      </c>
      <c r="D2" s="2" t="s">
        <v>3</v>
      </c>
      <c r="E2" s="3" t="s">
        <v>4</v>
      </c>
    </row>
    <row r="3" spans="1:9">
      <c r="A3" s="4" t="s">
        <v>5</v>
      </c>
      <c r="B3" s="5" t="s">
        <v>6</v>
      </c>
      <c r="C3" s="3" t="s">
        <v>7</v>
      </c>
      <c r="D3" s="6" t="s">
        <v>8</v>
      </c>
    </row>
    <row r="5" spans="1:9">
      <c r="A5" s="10" t="s">
        <v>149</v>
      </c>
      <c r="B5" s="17">
        <f>'Control Panel'!$B$8</f>
        <v>2026</v>
      </c>
      <c r="C5" s="17">
        <f>B5+1</f>
        <v>2027</v>
      </c>
      <c r="D5" s="17">
        <f>C5+1</f>
        <v>2028</v>
      </c>
      <c r="E5" s="17">
        <f>D5+1</f>
        <v>2029</v>
      </c>
      <c r="F5" s="17">
        <f>E5+1</f>
        <v>2030</v>
      </c>
    </row>
    <row r="6" spans="1:9">
      <c r="A6" s="2" t="s">
        <v>150</v>
      </c>
      <c r="B6" s="11">
        <f>'Control Panel'!$B$44*(1+'Control Panel'!$B$45)</f>
        <v>0</v>
      </c>
      <c r="C6" s="11">
        <f>B6*(1+'Control Panel'!$B$45)</f>
        <v>0</v>
      </c>
      <c r="D6" s="11">
        <f>C6*(1+'Control Panel'!$B$45)</f>
        <v>0</v>
      </c>
      <c r="E6" s="11">
        <f>D6*(1+'Control Panel'!$B$45)</f>
        <v>0</v>
      </c>
      <c r="F6" s="11">
        <f>E6*(1+'Control Panel'!$B$45)</f>
        <v>0</v>
      </c>
    </row>
    <row r="7" spans="1:9">
      <c r="A7" s="9" t="s">
        <v>151</v>
      </c>
      <c r="B7" s="12">
        <f>'Control Panel'!$B$45</f>
        <v>0</v>
      </c>
      <c r="C7" s="12">
        <f>C6/B6-1</f>
        <v>0</v>
      </c>
      <c r="D7" s="12">
        <f>D6/C6-1</f>
        <v>0</v>
      </c>
      <c r="E7" s="12">
        <f>E6/D6-1</f>
        <v>0</v>
      </c>
      <c r="F7" s="12">
        <f>F6/E6-1</f>
        <v>0</v>
      </c>
    </row>
    <row r="8" spans="1:9">
      <c r="A8" s="2" t="s">
        <v>152</v>
      </c>
      <c r="B8" s="11">
        <f>B6*'Control Panel'!$B$46</f>
        <v>0</v>
      </c>
      <c r="C8" s="11">
        <f>C6*'Control Panel'!$B$46</f>
        <v>0</v>
      </c>
      <c r="D8" s="11">
        <f>D6*'Control Panel'!$B$46</f>
        <v>0</v>
      </c>
      <c r="E8" s="11">
        <f>E6*'Control Panel'!$B$46</f>
        <v>0</v>
      </c>
      <c r="F8" s="11">
        <f>F6*'Control Panel'!$B$46</f>
        <v>0</v>
      </c>
    </row>
    <row r="9" spans="1:9">
      <c r="A9" s="9" t="s">
        <v>153</v>
      </c>
      <c r="B9" s="12">
        <f>B8/B6</f>
        <v>0</v>
      </c>
      <c r="C9" s="12">
        <f>C8/C6</f>
        <v>0</v>
      </c>
      <c r="D9" s="12">
        <f>D8/D6</f>
        <v>0</v>
      </c>
      <c r="E9" s="12">
        <f>E8/E6</f>
        <v>0</v>
      </c>
      <c r="F9" s="12">
        <f>F8/F6</f>
        <v>0</v>
      </c>
    </row>
    <row r="10" spans="1:9">
      <c r="A10" s="9" t="s">
        <v>154</v>
      </c>
      <c r="B10" s="11">
        <f>B6*'Control Panel'!$B$47</f>
        <v>0</v>
      </c>
      <c r="C10" s="11">
        <f>C6*'Control Panel'!$B$47</f>
        <v>0</v>
      </c>
      <c r="D10" s="11">
        <f>D6*'Control Panel'!$B$47</f>
        <v>0</v>
      </c>
      <c r="E10" s="11">
        <f>E6*'Control Panel'!$B$47</f>
        <v>0</v>
      </c>
      <c r="F10" s="11">
        <f>F6*'Control Panel'!$B$47</f>
        <v>0</v>
      </c>
    </row>
    <row r="11" spans="1:9">
      <c r="A11" s="9" t="s">
        <v>155</v>
      </c>
      <c r="B11" s="11">
        <f>B8-B10</f>
        <v>0</v>
      </c>
      <c r="C11" s="11">
        <f>C8-C10</f>
        <v>0</v>
      </c>
      <c r="D11" s="11">
        <f>D8-D10</f>
        <v>0</v>
      </c>
      <c r="E11" s="11">
        <f>E8-E10</f>
        <v>0</v>
      </c>
      <c r="F11" s="11">
        <f>F8-F10</f>
        <v>0</v>
      </c>
    </row>
    <row r="12" spans="1:9">
      <c r="A12" s="9" t="s">
        <v>156</v>
      </c>
      <c r="B12" s="11">
        <f>'Control Panel'!$B$48</f>
        <v>0</v>
      </c>
      <c r="C12" s="11">
        <f>'Control Panel'!$B$48</f>
        <v>0</v>
      </c>
      <c r="D12" s="11">
        <f>'Control Panel'!$B$48</f>
        <v>0</v>
      </c>
      <c r="E12" s="11">
        <f>'Control Panel'!$B$48</f>
        <v>0</v>
      </c>
      <c r="F12" s="11">
        <f>'Control Panel'!$B$48</f>
        <v>0</v>
      </c>
    </row>
    <row r="13" spans="1:9">
      <c r="A13" s="9" t="s">
        <v>157</v>
      </c>
      <c r="B13" s="11">
        <f>B11-B12</f>
        <v>0</v>
      </c>
      <c r="C13" s="11">
        <f>C11-C12</f>
        <v>0</v>
      </c>
      <c r="D13" s="11">
        <f>D11-D12</f>
        <v>0</v>
      </c>
      <c r="E13" s="11">
        <f>E11-E12</f>
        <v>0</v>
      </c>
      <c r="F13" s="11">
        <f>F11-F12</f>
        <v>0</v>
      </c>
    </row>
    <row r="14" spans="1:9">
      <c r="A14" s="9" t="s">
        <v>158</v>
      </c>
      <c r="B14" s="11">
        <f>B13*'Control Panel'!$B$25</f>
        <v>0</v>
      </c>
      <c r="C14" s="11">
        <f>C13*'Control Panel'!$B$25</f>
        <v>0</v>
      </c>
      <c r="D14" s="11">
        <f>D13*'Control Panel'!$B$25</f>
        <v>0</v>
      </c>
      <c r="E14" s="11">
        <f>E13*'Control Panel'!$B$25</f>
        <v>0</v>
      </c>
      <c r="F14" s="11">
        <f>F13*'Control Panel'!$B$25</f>
        <v>0</v>
      </c>
    </row>
    <row r="15" spans="1:9">
      <c r="A15" s="2" t="s">
        <v>159</v>
      </c>
      <c r="B15" s="11">
        <f>B13-B14</f>
        <v>0</v>
      </c>
      <c r="C15" s="11">
        <f>C13-C14</f>
        <v>0</v>
      </c>
      <c r="D15" s="11">
        <f>D13-D14</f>
        <v>0</v>
      </c>
      <c r="E15" s="11">
        <f>E13-E14</f>
        <v>0</v>
      </c>
      <c r="F15" s="11">
        <f>F13-F14</f>
        <v>0</v>
      </c>
    </row>
    <row r="16" spans="1:9">
      <c r="A16" s="2" t="s">
        <v>165</v>
      </c>
      <c r="B16" s="13">
        <f>B15/'Control Panel'!$B$16</f>
        <v>0</v>
      </c>
      <c r="C16" s="13">
        <f>C15/'Control Panel'!$B$16</f>
        <v>0</v>
      </c>
      <c r="D16" s="13">
        <f>D15/'Control Panel'!$B$16</f>
        <v>0</v>
      </c>
      <c r="E16" s="13">
        <f>E15/'Control Panel'!$B$16</f>
        <v>0</v>
      </c>
      <c r="F16" s="13">
        <f>F15/'Control Panel'!$B$16</f>
        <v>0</v>
      </c>
    </row>
    <row r="17" spans="1:6">
      <c r="A17" s="9" t="s">
        <v>166</v>
      </c>
      <c r="B17" s="18">
        <f>'Control Panel'!$B$16</f>
        <v>0</v>
      </c>
      <c r="C17" s="18">
        <f>'Control Panel'!$B$16</f>
        <v>0</v>
      </c>
      <c r="D17" s="18">
        <f>'Control Panel'!$B$16</f>
        <v>0</v>
      </c>
      <c r="E17" s="18">
        <f>'Control Panel'!$B$16</f>
        <v>0</v>
      </c>
      <c r="F17" s="18">
        <f>'Control Panel'!$B$16</f>
        <v>0</v>
      </c>
    </row>
    <row r="18" spans="1:6">
      <c r="A18" s="9" t="s">
        <v>162</v>
      </c>
      <c r="B18" s="11">
        <f>B15*'Control Panel'!$B$49</f>
        <v>0</v>
      </c>
      <c r="C18" s="11">
        <f>C15*'Control Panel'!$B$49</f>
        <v>0</v>
      </c>
      <c r="D18" s="11">
        <f>D15*'Control Panel'!$B$49</f>
        <v>0</v>
      </c>
      <c r="E18" s="11">
        <f>E15*'Control Panel'!$B$49</f>
        <v>0</v>
      </c>
      <c r="F18" s="11">
        <f>F15*'Control Panel'!$B$49</f>
        <v>0</v>
      </c>
    </row>
    <row r="19" spans="1:6">
      <c r="A19" s="9" t="s">
        <v>163</v>
      </c>
      <c r="B19" s="12">
        <f>'Control Panel'!$B$49</f>
        <v>0</v>
      </c>
      <c r="C19" s="12">
        <f>'Control Panel'!$B$49</f>
        <v>0</v>
      </c>
      <c r="D19" s="12">
        <f>'Control Panel'!$B$49</f>
        <v>0</v>
      </c>
      <c r="E19" s="12">
        <f>'Control Panel'!$B$49</f>
        <v>0</v>
      </c>
      <c r="F19" s="12">
        <f>'Control Panel'!$B$49</f>
        <v>0</v>
      </c>
    </row>
    <row r="20" spans="1:6">
      <c r="A20" s="2" t="s">
        <v>164</v>
      </c>
      <c r="B20" s="11">
        <f>B15*'Control Panel'!$B$49</f>
        <v>0</v>
      </c>
      <c r="C20" s="11">
        <f>C15*'Control Panel'!$B$49</f>
        <v>0</v>
      </c>
      <c r="D20" s="11">
        <f>D15*'Control Panel'!$B$49</f>
        <v>0</v>
      </c>
      <c r="E20" s="11">
        <f>E15*'Control Panel'!$B$49</f>
        <v>0</v>
      </c>
      <c r="F20" s="11">
        <f>F15*'Control Panel'!$B$49</f>
        <v>0</v>
      </c>
    </row>
  </sheetData>
  <mergeCells count="1">
    <mergeCell ref="A1:I1"/>
  </mergeCells>
  <conditionalFormatting sqref="A1:M81">
    <cfRule type="containsText" dxfId="1" priority="1" operator="containsText" text="FAIL">
      <formula>NOT(ISERROR(SEARCH("FAIL",A1)))</formula>
    </cfRule>
    <cfRule type="containsText" dxfId="0" priority="2" operator="containsText" text="placeholder">
      <formula>NOT(ISERROR(SEARCH("placeholder",A1)))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17365D"/>
  </sheetPr>
  <dimension ref="A1:I23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6.7109375" customWidth="1"/>
    <col min="2" max="4" width="20.7109375" customWidth="1"/>
    <col min="5" max="11" width="15.7109375" customWidth="1"/>
  </cols>
  <sheetData>
    <row r="1" spans="1:9" ht="24" customHeight="1">
      <c r="A1" s="1" t="s">
        <v>21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3" t="s">
        <v>2</v>
      </c>
      <c r="D2" s="2" t="s">
        <v>3</v>
      </c>
      <c r="E2" s="3" t="s">
        <v>4</v>
      </c>
    </row>
    <row r="3" spans="1:9">
      <c r="A3" s="4" t="s">
        <v>5</v>
      </c>
      <c r="B3" s="5" t="s">
        <v>6</v>
      </c>
      <c r="C3" s="3" t="s">
        <v>7</v>
      </c>
      <c r="D3" s="6" t="s">
        <v>8</v>
      </c>
    </row>
    <row r="5" spans="1:9">
      <c r="A5" s="10" t="s">
        <v>167</v>
      </c>
      <c r="B5" s="10" t="s">
        <v>37</v>
      </c>
      <c r="C5" s="10" t="s">
        <v>38</v>
      </c>
    </row>
    <row r="6" spans="1:9">
      <c r="A6" s="9" t="s">
        <v>168</v>
      </c>
      <c r="B6" s="13">
        <f>'Control Panel'!$B$14</f>
        <v>0</v>
      </c>
      <c r="C6" s="9" t="s">
        <v>169</v>
      </c>
    </row>
    <row r="7" spans="1:9">
      <c r="A7" s="9" t="s">
        <v>170</v>
      </c>
      <c r="B7" s="13">
        <f>'Control Panel'!$B$15</f>
        <v>0</v>
      </c>
      <c r="C7" s="9" t="s">
        <v>169</v>
      </c>
    </row>
    <row r="8" spans="1:9">
      <c r="A8" s="9" t="s">
        <v>171</v>
      </c>
      <c r="B8" s="12">
        <f>B6/B7-1</f>
        <v>0</v>
      </c>
      <c r="C8" s="9" t="s">
        <v>169</v>
      </c>
    </row>
    <row r="9" spans="1:9">
      <c r="A9" s="9" t="s">
        <v>172</v>
      </c>
      <c r="B9" s="18">
        <f>'Control Panel'!$B$16</f>
        <v>0</v>
      </c>
      <c r="C9" s="9" t="s">
        <v>169</v>
      </c>
    </row>
    <row r="10" spans="1:9">
      <c r="A10" s="2" t="s">
        <v>173</v>
      </c>
      <c r="B10" s="11">
        <f>B6*B9</f>
        <v>0</v>
      </c>
      <c r="C10" s="9" t="s">
        <v>169</v>
      </c>
    </row>
    <row r="11" spans="1:9">
      <c r="A11" s="9" t="s">
        <v>174</v>
      </c>
      <c r="B11" s="11">
        <f>'Control Panel'!$B$17</f>
        <v>0</v>
      </c>
      <c r="C11" s="9" t="s">
        <v>169</v>
      </c>
    </row>
    <row r="12" spans="1:9">
      <c r="A12" s="2" t="s">
        <v>175</v>
      </c>
      <c r="B12" s="11">
        <f>B10+B11</f>
        <v>0</v>
      </c>
      <c r="C12" s="9" t="s">
        <v>169</v>
      </c>
    </row>
    <row r="13" spans="1:9">
      <c r="A13" s="9" t="s">
        <v>176</v>
      </c>
      <c r="B13" s="11">
        <f>B12*'Control Panel'!$B$36</f>
        <v>0</v>
      </c>
      <c r="C13" s="9" t="s">
        <v>169</v>
      </c>
    </row>
    <row r="14" spans="1:9">
      <c r="A14" s="9" t="s">
        <v>177</v>
      </c>
      <c r="B14" s="11">
        <f>'Control Panel'!$B$22*'Control Panel'!$B$35</f>
        <v>0</v>
      </c>
      <c r="C14" s="9" t="s">
        <v>169</v>
      </c>
    </row>
    <row r="15" spans="1:9">
      <c r="A15" s="9" t="s">
        <v>178</v>
      </c>
      <c r="B15" s="11">
        <f>B10*'Control Panel'!$B$19</f>
        <v>0</v>
      </c>
      <c r="C15" s="9" t="s">
        <v>169</v>
      </c>
    </row>
    <row r="16" spans="1:9">
      <c r="A16" s="9" t="s">
        <v>179</v>
      </c>
      <c r="B16" s="11">
        <f>B10*'Control Panel'!$B$20</f>
        <v>0</v>
      </c>
      <c r="C16" s="9" t="s">
        <v>169</v>
      </c>
    </row>
    <row r="17" spans="1:3">
      <c r="A17" s="9" t="s">
        <v>180</v>
      </c>
      <c r="B17" s="11">
        <f>B10*'Control Panel'!$B$21</f>
        <v>0</v>
      </c>
      <c r="C17" s="9" t="s">
        <v>169</v>
      </c>
    </row>
    <row r="18" spans="1:3">
      <c r="A18" s="9" t="s">
        <v>181</v>
      </c>
      <c r="B18" s="11">
        <f>'Control Panel'!$B$22</f>
        <v>0</v>
      </c>
      <c r="C18" s="9" t="s">
        <v>169</v>
      </c>
    </row>
    <row r="19" spans="1:3">
      <c r="A19" s="9" t="s">
        <v>182</v>
      </c>
      <c r="B19" s="18">
        <f>B16/'Control Panel'!$B$10</f>
        <v>0</v>
      </c>
      <c r="C19" s="9" t="s">
        <v>169</v>
      </c>
    </row>
    <row r="20" spans="1:3">
      <c r="A20" s="9" t="s">
        <v>183</v>
      </c>
      <c r="B20" s="18">
        <f>B19/B9</f>
        <v>0</v>
      </c>
      <c r="C20" s="9" t="s">
        <v>169</v>
      </c>
    </row>
    <row r="21" spans="1:3">
      <c r="A21" s="2" t="s">
        <v>184</v>
      </c>
      <c r="B21" s="18">
        <f>'Control Panel'!$B$12+B19</f>
        <v>0</v>
      </c>
      <c r="C21" s="9" t="s">
        <v>169</v>
      </c>
    </row>
    <row r="22" spans="1:3">
      <c r="A22" s="9" t="s">
        <v>185</v>
      </c>
      <c r="B22" s="12">
        <f>'Control Panel'!$B$12/B21</f>
        <v>0</v>
      </c>
      <c r="C22" s="9" t="s">
        <v>169</v>
      </c>
    </row>
    <row r="23" spans="1:3">
      <c r="A23" s="9" t="s">
        <v>186</v>
      </c>
      <c r="B23" s="12">
        <f>B19/B21</f>
        <v>0</v>
      </c>
      <c r="C23" s="9" t="s">
        <v>169</v>
      </c>
    </row>
  </sheetData>
  <mergeCells count="1">
    <mergeCell ref="A1:I1"/>
  </mergeCells>
  <conditionalFormatting sqref="A1:M81">
    <cfRule type="containsText" dxfId="1" priority="1" operator="containsText" text="FAIL">
      <formula>NOT(ISERROR(SEARCH("FAIL",A1)))</formula>
    </cfRule>
    <cfRule type="containsText" dxfId="0" priority="2" operator="containsText" text="placeholder">
      <formula>NOT(ISERROR(SEARCH("placeholder",A1)))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17365D"/>
  </sheetPr>
  <dimension ref="A1:I21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8.7109375" customWidth="1"/>
    <col min="2" max="11" width="15.7109375" customWidth="1"/>
  </cols>
  <sheetData>
    <row r="1" spans="1:9" ht="24" customHeight="1">
      <c r="A1" s="1" t="s">
        <v>22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3" t="s">
        <v>2</v>
      </c>
      <c r="D2" s="2" t="s">
        <v>3</v>
      </c>
      <c r="E2" s="3" t="s">
        <v>4</v>
      </c>
    </row>
    <row r="3" spans="1:9">
      <c r="A3" s="4" t="s">
        <v>5</v>
      </c>
      <c r="B3" s="5" t="s">
        <v>6</v>
      </c>
      <c r="C3" s="3" t="s">
        <v>7</v>
      </c>
      <c r="D3" s="6" t="s">
        <v>8</v>
      </c>
    </row>
    <row r="5" spans="1:9">
      <c r="A5" s="7" t="s">
        <v>187</v>
      </c>
      <c r="B5" s="10" t="s">
        <v>188</v>
      </c>
    </row>
    <row r="6" spans="1:9">
      <c r="A6" s="9" t="s">
        <v>173</v>
      </c>
      <c r="B6" s="11">
        <f>'Transaction Assumptions'!B10</f>
        <v>0</v>
      </c>
    </row>
    <row r="7" spans="1:9">
      <c r="A7" s="9" t="s">
        <v>189</v>
      </c>
      <c r="B7" s="11">
        <f>'Transaction Assumptions'!B11</f>
        <v>0</v>
      </c>
    </row>
    <row r="8" spans="1:9">
      <c r="A8" s="9" t="s">
        <v>190</v>
      </c>
      <c r="B8" s="11">
        <f>'Transaction Assumptions'!B13</f>
        <v>0</v>
      </c>
    </row>
    <row r="9" spans="1:9">
      <c r="A9" s="9" t="s">
        <v>177</v>
      </c>
      <c r="B9" s="11">
        <f>'Transaction Assumptions'!B14</f>
        <v>0</v>
      </c>
    </row>
    <row r="10" spans="1:9">
      <c r="A10" s="9" t="s">
        <v>141</v>
      </c>
      <c r="B10" s="11">
        <f>'Control Panel'!$B$57</f>
        <v>0</v>
      </c>
    </row>
    <row r="11" spans="1:9">
      <c r="A11" s="9" t="s">
        <v>191</v>
      </c>
      <c r="B11" s="11">
        <f>'Control Panel'!$B$58</f>
        <v>0</v>
      </c>
    </row>
    <row r="12" spans="1:9">
      <c r="A12" s="2" t="s">
        <v>192</v>
      </c>
      <c r="B12" s="11">
        <f>SUM(B6:B11)</f>
        <v>0</v>
      </c>
    </row>
    <row r="14" spans="1:9">
      <c r="A14" s="7" t="s">
        <v>193</v>
      </c>
      <c r="B14" s="10" t="s">
        <v>188</v>
      </c>
    </row>
    <row r="15" spans="1:9">
      <c r="A15" s="9" t="s">
        <v>194</v>
      </c>
      <c r="B15" s="11">
        <f>B12-SUM(B16:B18)</f>
        <v>0</v>
      </c>
    </row>
    <row r="16" spans="1:9">
      <c r="A16" s="9" t="s">
        <v>195</v>
      </c>
      <c r="B16" s="11">
        <f>'Transaction Assumptions'!B18</f>
        <v>0</v>
      </c>
    </row>
    <row r="17" spans="1:3">
      <c r="A17" s="9" t="s">
        <v>196</v>
      </c>
      <c r="B17" s="11">
        <f>'Transaction Assumptions'!B16</f>
        <v>0</v>
      </c>
    </row>
    <row r="18" spans="1:3">
      <c r="A18" s="9" t="s">
        <v>145</v>
      </c>
      <c r="B18" s="11">
        <f>'Control Panel'!$B$59</f>
        <v>0</v>
      </c>
    </row>
    <row r="19" spans="1:3">
      <c r="A19" s="2" t="s">
        <v>197</v>
      </c>
      <c r="B19" s="11">
        <f>SUM(B15:B18)</f>
        <v>0</v>
      </c>
    </row>
    <row r="21" spans="1:3">
      <c r="A21" s="7" t="s">
        <v>198</v>
      </c>
      <c r="B21" s="11">
        <f>B19-B12</f>
        <v>0</v>
      </c>
      <c r="C21" s="19">
        <f>IF(ABS(B21)&lt;0.01,"OK","FAIL")</f>
        <v>0</v>
      </c>
    </row>
  </sheetData>
  <mergeCells count="1">
    <mergeCell ref="A1:I1"/>
  </mergeCells>
  <conditionalFormatting sqref="A1:M81">
    <cfRule type="containsText" dxfId="1" priority="1" operator="containsText" text="FAIL">
      <formula>NOT(ISERROR(SEARCH("FAIL",A1)))</formula>
    </cfRule>
    <cfRule type="containsText" dxfId="0" priority="2" operator="containsText" text="placeholder">
      <formula>NOT(ISERROR(SEARCH("placeholder",A1)))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17365D"/>
  </sheetPr>
  <dimension ref="A1:I20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42.7109375" customWidth="1"/>
    <col min="2" max="11" width="15.7109375" customWidth="1"/>
  </cols>
  <sheetData>
    <row r="1" spans="1:9" ht="24" customHeight="1">
      <c r="A1" s="1" t="s">
        <v>23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3" t="s">
        <v>2</v>
      </c>
      <c r="D2" s="2" t="s">
        <v>3</v>
      </c>
      <c r="E2" s="3" t="s">
        <v>4</v>
      </c>
    </row>
    <row r="3" spans="1:9">
      <c r="A3" s="4" t="s">
        <v>5</v>
      </c>
      <c r="B3" s="5" t="s">
        <v>6</v>
      </c>
      <c r="C3" s="3" t="s">
        <v>7</v>
      </c>
      <c r="D3" s="6" t="s">
        <v>8</v>
      </c>
    </row>
    <row r="5" spans="1:9">
      <c r="A5" s="10" t="s">
        <v>199</v>
      </c>
      <c r="B5" s="10" t="s">
        <v>188</v>
      </c>
      <c r="C5" s="10" t="s">
        <v>38</v>
      </c>
    </row>
    <row r="6" spans="1:9">
      <c r="A6" s="9" t="s">
        <v>200</v>
      </c>
      <c r="B6" s="11">
        <f>'Transaction Assumptions'!B10</f>
        <v>0</v>
      </c>
      <c r="C6" s="9" t="s">
        <v>201</v>
      </c>
    </row>
    <row r="7" spans="1:9">
      <c r="A7" s="9" t="s">
        <v>202</v>
      </c>
      <c r="B7" s="11">
        <f>'Control Panel'!$B$55</f>
        <v>0</v>
      </c>
      <c r="C7" s="9" t="s">
        <v>201</v>
      </c>
    </row>
    <row r="8" spans="1:9">
      <c r="A8" s="9" t="s">
        <v>203</v>
      </c>
      <c r="B8" s="11">
        <f>'Control Panel'!$B$31</f>
        <v>0</v>
      </c>
      <c r="C8" s="9" t="s">
        <v>201</v>
      </c>
    </row>
    <row r="9" spans="1:9">
      <c r="A9" s="9" t="s">
        <v>204</v>
      </c>
      <c r="B9" s="11">
        <f>'Control Panel'!$B$29</f>
        <v>0</v>
      </c>
      <c r="C9" s="9" t="s">
        <v>201</v>
      </c>
    </row>
    <row r="10" spans="1:9">
      <c r="A10" s="9" t="s">
        <v>139</v>
      </c>
      <c r="B10" s="11">
        <f>'Control Panel'!$B$56</f>
        <v>0</v>
      </c>
      <c r="C10" s="9" t="s">
        <v>201</v>
      </c>
    </row>
    <row r="11" spans="1:9">
      <c r="A11" s="9" t="s">
        <v>205</v>
      </c>
      <c r="B11" s="11">
        <f>(B8+B9+B10)*'Control Panel'!$B$25</f>
        <v>0</v>
      </c>
      <c r="C11" s="9" t="s">
        <v>201</v>
      </c>
    </row>
    <row r="12" spans="1:9">
      <c r="A12" s="2" t="s">
        <v>206</v>
      </c>
      <c r="B12" s="11">
        <f>B6-B7-B8-B9-B10+B11</f>
        <v>0</v>
      </c>
      <c r="C12" s="6" t="s">
        <v>201</v>
      </c>
    </row>
    <row r="13" spans="1:9">
      <c r="A13" s="9" t="s">
        <v>190</v>
      </c>
      <c r="B13" s="11">
        <f>'Transaction Assumptions'!B13</f>
        <v>0</v>
      </c>
      <c r="C13" s="9" t="s">
        <v>201</v>
      </c>
    </row>
    <row r="14" spans="1:9">
      <c r="A14" s="9" t="s">
        <v>177</v>
      </c>
      <c r="B14" s="11">
        <f>'Transaction Assumptions'!B14</f>
        <v>0</v>
      </c>
      <c r="C14" s="9" t="s">
        <v>201</v>
      </c>
    </row>
    <row r="15" spans="1:9">
      <c r="A15" s="9" t="s">
        <v>207</v>
      </c>
      <c r="B15" s="11">
        <f>B14</f>
        <v>0</v>
      </c>
      <c r="C15" s="9" t="s">
        <v>201</v>
      </c>
    </row>
    <row r="16" spans="1:9">
      <c r="A16" s="9" t="s">
        <v>208</v>
      </c>
      <c r="B16" s="11">
        <f>B9/'Control Panel'!$B$30</f>
        <v>0</v>
      </c>
      <c r="C16" s="9" t="s">
        <v>201</v>
      </c>
    </row>
    <row r="17" spans="1:3">
      <c r="A17" s="9" t="s">
        <v>209</v>
      </c>
      <c r="B17" s="11">
        <f>B8/'Control Panel'!$B$32</f>
        <v>0</v>
      </c>
      <c r="C17" s="9" t="s">
        <v>201</v>
      </c>
    </row>
    <row r="18" spans="1:3">
      <c r="A18" s="2" t="s">
        <v>210</v>
      </c>
      <c r="B18" s="11">
        <f>B16+B17</f>
        <v>0</v>
      </c>
      <c r="C18" s="9" t="s">
        <v>201</v>
      </c>
    </row>
    <row r="19" spans="1:3">
      <c r="A19" s="9" t="s">
        <v>211</v>
      </c>
      <c r="B19" s="11">
        <f>B12+B11-B13</f>
        <v>0</v>
      </c>
      <c r="C19" s="9" t="s">
        <v>201</v>
      </c>
    </row>
    <row r="20" spans="1:3">
      <c r="A20" s="2" t="s">
        <v>212</v>
      </c>
      <c r="B20" s="11">
        <f>B12-(B6-B7-B8-B9-B10+B11)</f>
        <v>0</v>
      </c>
      <c r="C20" s="9" t="s">
        <v>201</v>
      </c>
    </row>
  </sheetData>
  <mergeCells count="1">
    <mergeCell ref="A1:I1"/>
  </mergeCells>
  <conditionalFormatting sqref="A1:M81">
    <cfRule type="containsText" dxfId="1" priority="1" operator="containsText" text="FAIL">
      <formula>NOT(ISERROR(SEARCH("FAIL",A1)))</formula>
    </cfRule>
    <cfRule type="containsText" dxfId="0" priority="2" operator="containsText" text="placeholder">
      <formula>NOT(ISERROR(SEARCH("placeholder",A1)))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17365D"/>
  </sheetPr>
  <dimension ref="A1:I15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0.7109375" customWidth="1"/>
    <col min="2" max="11" width="15.7109375" customWidth="1"/>
  </cols>
  <sheetData>
    <row r="1" spans="1:9" ht="24" customHeight="1">
      <c r="A1" s="1" t="s">
        <v>24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3" t="s">
        <v>2</v>
      </c>
      <c r="D2" s="2" t="s">
        <v>3</v>
      </c>
      <c r="E2" s="3" t="s">
        <v>4</v>
      </c>
    </row>
    <row r="3" spans="1:9">
      <c r="A3" s="4" t="s">
        <v>5</v>
      </c>
      <c r="B3" s="5" t="s">
        <v>6</v>
      </c>
      <c r="C3" s="3" t="s">
        <v>7</v>
      </c>
      <c r="D3" s="6" t="s">
        <v>8</v>
      </c>
    </row>
    <row r="5" spans="1:9">
      <c r="A5" s="10" t="s">
        <v>149</v>
      </c>
      <c r="B5" s="17">
        <f>'Control Panel'!$B$8</f>
        <v>2026</v>
      </c>
      <c r="C5" s="17">
        <f>B5+1</f>
        <v>2027</v>
      </c>
      <c r="D5" s="17">
        <f>C5+1</f>
        <v>2028</v>
      </c>
      <c r="E5" s="17">
        <f>D5+1</f>
        <v>2029</v>
      </c>
      <c r="F5" s="17">
        <f>E5+1</f>
        <v>2030</v>
      </c>
    </row>
    <row r="6" spans="1:9">
      <c r="A6" s="9" t="s">
        <v>195</v>
      </c>
      <c r="B6" s="11">
        <f>'Control Panel'!$B$22</f>
        <v>0</v>
      </c>
      <c r="C6" s="11">
        <f>MAX(0,B12-B11)</f>
        <v>0</v>
      </c>
      <c r="D6" s="11">
        <f>MAX(0,C12-C11)</f>
        <v>0</v>
      </c>
      <c r="E6" s="11">
        <f>MAX(0,D12-D11)</f>
        <v>0</v>
      </c>
      <c r="F6" s="11">
        <f>MAX(0,E12-E11)</f>
        <v>0</v>
      </c>
    </row>
    <row r="7" spans="1:9">
      <c r="A7" s="9" t="s">
        <v>213</v>
      </c>
      <c r="B7" s="12">
        <f>'Control Panel'!$B$23</f>
        <v>0</v>
      </c>
      <c r="C7" s="12">
        <f>'Control Panel'!$B$23</f>
        <v>0</v>
      </c>
      <c r="D7" s="12">
        <f>'Control Panel'!$B$23</f>
        <v>0</v>
      </c>
      <c r="E7" s="12">
        <f>'Control Panel'!$B$23</f>
        <v>0</v>
      </c>
      <c r="F7" s="12">
        <f>'Control Panel'!$B$23</f>
        <v>0</v>
      </c>
    </row>
    <row r="8" spans="1:9">
      <c r="A8" s="9" t="s">
        <v>214</v>
      </c>
      <c r="B8" s="11">
        <f>'Control Panel'!$B$35*'Control Panel'!$B$22</f>
        <v>0</v>
      </c>
      <c r="C8" s="11">
        <f>'Control Panel'!$B$35*'Control Panel'!$B$22</f>
        <v>0</v>
      </c>
      <c r="D8" s="11">
        <f>'Control Panel'!$B$35*'Control Panel'!$B$22</f>
        <v>0</v>
      </c>
      <c r="E8" s="11">
        <f>'Control Panel'!$B$35*'Control Panel'!$B$22</f>
        <v>0</v>
      </c>
      <c r="F8" s="11">
        <f>'Control Panel'!$B$35*'Control Panel'!$B$22</f>
        <v>0</v>
      </c>
    </row>
    <row r="9" spans="1:9">
      <c r="A9" s="9" t="s">
        <v>215</v>
      </c>
      <c r="B9" s="11">
        <f>B8/5</f>
        <v>0</v>
      </c>
      <c r="C9" s="11">
        <f>C8/5</f>
        <v>0</v>
      </c>
      <c r="D9" s="11">
        <f>D8/5</f>
        <v>0</v>
      </c>
      <c r="E9" s="11">
        <f>E8/5</f>
        <v>0</v>
      </c>
      <c r="F9" s="11">
        <f>F8/5</f>
        <v>0</v>
      </c>
    </row>
    <row r="10" spans="1:9">
      <c r="A10" s="2" t="s">
        <v>216</v>
      </c>
      <c r="B10" s="11">
        <f>B6*B7+B9</f>
        <v>0</v>
      </c>
      <c r="C10" s="11">
        <f>C6*C7+C9</f>
        <v>0</v>
      </c>
      <c r="D10" s="11">
        <f>D6*D7+D9</f>
        <v>0</v>
      </c>
      <c r="E10" s="11">
        <f>E6*E7+E9</f>
        <v>0</v>
      </c>
      <c r="F10" s="11">
        <f>F6*F7+F9</f>
        <v>0</v>
      </c>
    </row>
    <row r="11" spans="1:9">
      <c r="A11" s="9" t="s">
        <v>217</v>
      </c>
      <c r="B11" s="11">
        <f>B6*'Control Panel'!$B$60</f>
        <v>0</v>
      </c>
      <c r="C11" s="11">
        <f>C6*'Control Panel'!$B$60</f>
        <v>0</v>
      </c>
      <c r="D11" s="11">
        <f>D6*'Control Panel'!$B$60</f>
        <v>0</v>
      </c>
      <c r="E11" s="11">
        <f>E6*'Control Panel'!$B$60</f>
        <v>0</v>
      </c>
      <c r="F11" s="11">
        <f>F6*'Control Panel'!$B$60</f>
        <v>0</v>
      </c>
    </row>
    <row r="12" spans="1:9">
      <c r="A12" s="2" t="s">
        <v>218</v>
      </c>
      <c r="B12" s="11">
        <f>MAX(0,B6-B11)</f>
        <v>0</v>
      </c>
      <c r="C12" s="11">
        <f>MAX(0,C6-C11)</f>
        <v>0</v>
      </c>
      <c r="D12" s="11">
        <f>MAX(0,D6-D11)</f>
        <v>0</v>
      </c>
      <c r="E12" s="11">
        <f>MAX(0,E6-E11)</f>
        <v>0</v>
      </c>
      <c r="F12" s="11">
        <f>MAX(0,F6-F11)</f>
        <v>0</v>
      </c>
    </row>
    <row r="13" spans="1:9">
      <c r="A13" s="9" t="s">
        <v>219</v>
      </c>
      <c r="B13" s="11">
        <f>'Pro Forma Income Statement'!B9</f>
        <v>0</v>
      </c>
      <c r="C13" s="11">
        <f>'Pro Forma Income Statement'!C9</f>
        <v>0</v>
      </c>
      <c r="D13" s="11">
        <f>'Pro Forma Income Statement'!D9</f>
        <v>0</v>
      </c>
      <c r="E13" s="11">
        <f>'Pro Forma Income Statement'!E9</f>
        <v>0</v>
      </c>
      <c r="F13" s="11">
        <f>'Pro Forma Income Statement'!F9</f>
        <v>0</v>
      </c>
    </row>
    <row r="14" spans="1:9">
      <c r="A14" s="2" t="s">
        <v>220</v>
      </c>
      <c r="B14" s="20">
        <f>IFERROR(B12/B13,0)</f>
        <v>0</v>
      </c>
      <c r="C14" s="20">
        <f>IFERROR(C12/C13,0)</f>
        <v>0</v>
      </c>
      <c r="D14" s="20">
        <f>IFERROR(D12/D13,0)</f>
        <v>0</v>
      </c>
      <c r="E14" s="20">
        <f>IFERROR(E12/E13,0)</f>
        <v>0</v>
      </c>
      <c r="F14" s="20">
        <f>IFERROR(F12/F13,0)</f>
        <v>0</v>
      </c>
    </row>
    <row r="15" spans="1:9">
      <c r="A15" s="9" t="s">
        <v>221</v>
      </c>
      <c r="B15" s="20">
        <f>IFERROR(B13/B10,0)</f>
        <v>0</v>
      </c>
      <c r="C15" s="20">
        <f>IFERROR(C13/C10,0)</f>
        <v>0</v>
      </c>
      <c r="D15" s="20">
        <f>IFERROR(D13/D10,0)</f>
        <v>0</v>
      </c>
      <c r="E15" s="20">
        <f>IFERROR(E13/E10,0)</f>
        <v>0</v>
      </c>
      <c r="F15" s="20">
        <f>IFERROR(F13/F10,0)</f>
        <v>0</v>
      </c>
    </row>
  </sheetData>
  <mergeCells count="1">
    <mergeCell ref="A1:I1"/>
  </mergeCells>
  <conditionalFormatting sqref="A1:M81">
    <cfRule type="containsText" dxfId="1" priority="1" operator="containsText" text="FAIL">
      <formula>NOT(ISERROR(SEARCH("FAIL",A1)))</formula>
    </cfRule>
    <cfRule type="containsText" dxfId="0" priority="2" operator="containsText" text="placeholder">
      <formula>NOT(ISERROR(SEARCH("placeholder",A1)))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17365D"/>
  </sheetPr>
  <dimension ref="A1:I17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0.7109375" customWidth="1"/>
    <col min="2" max="11" width="15.7109375" customWidth="1"/>
  </cols>
  <sheetData>
    <row r="1" spans="1:9" ht="24" customHeight="1">
      <c r="A1" s="1" t="s">
        <v>25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3" t="s">
        <v>2</v>
      </c>
      <c r="D2" s="2" t="s">
        <v>3</v>
      </c>
      <c r="E2" s="3" t="s">
        <v>4</v>
      </c>
    </row>
    <row r="3" spans="1:9">
      <c r="A3" s="4" t="s">
        <v>5</v>
      </c>
      <c r="B3" s="5" t="s">
        <v>6</v>
      </c>
      <c r="C3" s="3" t="s">
        <v>7</v>
      </c>
      <c r="D3" s="6" t="s">
        <v>8</v>
      </c>
    </row>
    <row r="5" spans="1:9">
      <c r="A5" s="10" t="s">
        <v>149</v>
      </c>
      <c r="B5" s="17">
        <f>'Control Panel'!$B$8</f>
        <v>2026</v>
      </c>
      <c r="C5" s="17">
        <f>B5+1</f>
        <v>2027</v>
      </c>
      <c r="D5" s="17">
        <f>C5+1</f>
        <v>2028</v>
      </c>
      <c r="E5" s="17">
        <f>D5+1</f>
        <v>2029</v>
      </c>
      <c r="F5" s="17">
        <f>E5+1</f>
        <v>2030</v>
      </c>
    </row>
    <row r="6" spans="1:9">
      <c r="A6" s="9" t="s">
        <v>222</v>
      </c>
      <c r="B6" s="12">
        <f>'Control Panel'!$B$26</f>
        <v>0</v>
      </c>
      <c r="C6" s="12">
        <f>'Control Panel'!$B$27</f>
        <v>0</v>
      </c>
      <c r="D6" s="12">
        <f>'Control Panel'!$B$28</f>
        <v>0</v>
      </c>
      <c r="E6" s="12">
        <f>'Control Panel'!$B$28</f>
        <v>0</v>
      </c>
      <c r="F6" s="12">
        <f>'Control Panel'!$B$28</f>
        <v>0</v>
      </c>
    </row>
    <row r="7" spans="1:9">
      <c r="A7" s="9" t="s">
        <v>223</v>
      </c>
      <c r="B7" s="11">
        <f>'Control Panel'!$B$50*B6*'Control Panel'!$B$54</f>
        <v>0</v>
      </c>
      <c r="C7" s="11">
        <f>'Control Panel'!$B$50*C6*'Control Panel'!$B$54</f>
        <v>0</v>
      </c>
      <c r="D7" s="11">
        <f>'Control Panel'!$B$50*D6*'Control Panel'!$B$54</f>
        <v>0</v>
      </c>
      <c r="E7" s="11">
        <f>'Control Panel'!$B$50*E6*'Control Panel'!$B$54</f>
        <v>0</v>
      </c>
      <c r="F7" s="11">
        <f>'Control Panel'!$B$50*F6*'Control Panel'!$B$54</f>
        <v>0</v>
      </c>
    </row>
    <row r="8" spans="1:9">
      <c r="A8" s="9" t="s">
        <v>224</v>
      </c>
      <c r="B8" s="11">
        <f>'Control Panel'!$B$51*B6</f>
        <v>0</v>
      </c>
      <c r="C8" s="11">
        <f>'Control Panel'!$B$51*C6</f>
        <v>0</v>
      </c>
      <c r="D8" s="11">
        <f>'Control Panel'!$B$51*D6</f>
        <v>0</v>
      </c>
      <c r="E8" s="11">
        <f>'Control Panel'!$B$51*E6</f>
        <v>0</v>
      </c>
      <c r="F8" s="11">
        <f>'Control Panel'!$B$51*F6</f>
        <v>0</v>
      </c>
    </row>
    <row r="9" spans="1:9">
      <c r="A9" s="9" t="s">
        <v>129</v>
      </c>
      <c r="B9" s="12">
        <f>'Control Panel'!$B$52</f>
        <v>0</v>
      </c>
      <c r="C9" s="12">
        <f>'Control Panel'!$B$52</f>
        <v>0</v>
      </c>
      <c r="D9" s="12">
        <f>'Control Panel'!$B$52</f>
        <v>0</v>
      </c>
      <c r="E9" s="12">
        <f>'Control Panel'!$B$52</f>
        <v>0</v>
      </c>
      <c r="F9" s="12">
        <f>'Control Panel'!$B$52</f>
        <v>0</v>
      </c>
    </row>
    <row r="10" spans="1:9">
      <c r="A10" s="9" t="s">
        <v>225</v>
      </c>
      <c r="B10" s="11">
        <f>B8*B9</f>
        <v>0</v>
      </c>
      <c r="C10" s="11">
        <f>C8*C9</f>
        <v>0</v>
      </c>
      <c r="D10" s="11">
        <f>D8*D9</f>
        <v>0</v>
      </c>
      <c r="E10" s="11">
        <f>E8*E9</f>
        <v>0</v>
      </c>
      <c r="F10" s="11">
        <f>F8*F9</f>
        <v>0</v>
      </c>
    </row>
    <row r="11" spans="1:9">
      <c r="A11" s="9" t="s">
        <v>226</v>
      </c>
      <c r="B11" s="11">
        <f>'Control Panel'!$B$53*B6</f>
        <v>0</v>
      </c>
      <c r="C11" s="11">
        <f>'Control Panel'!$B$53*C6</f>
        <v>0</v>
      </c>
      <c r="D11" s="11">
        <f>'Control Panel'!$B$53*D6</f>
        <v>0</v>
      </c>
      <c r="E11" s="11">
        <f>'Control Panel'!$B$53*E6</f>
        <v>0</v>
      </c>
      <c r="F11" s="11">
        <f>'Control Panel'!$B$53*F6</f>
        <v>0</v>
      </c>
    </row>
    <row r="12" spans="1:9">
      <c r="A12" s="2" t="s">
        <v>227</v>
      </c>
      <c r="B12" s="11">
        <f>B7+B10-B11</f>
        <v>0</v>
      </c>
      <c r="C12" s="11">
        <f>C7+C10-C11</f>
        <v>0</v>
      </c>
      <c r="D12" s="11">
        <f>D7+D10-D11</f>
        <v>0</v>
      </c>
      <c r="E12" s="11">
        <f>E7+E10-E11</f>
        <v>0</v>
      </c>
      <c r="F12" s="11">
        <f>F7+F10-F11</f>
        <v>0</v>
      </c>
    </row>
    <row r="13" spans="1:9">
      <c r="A13" s="9" t="s">
        <v>228</v>
      </c>
      <c r="B13" s="11">
        <f>'Control Panel'!$B$54*'Control Panel'!$B$55*B6</f>
        <v>0</v>
      </c>
      <c r="C13" s="11">
        <f>'Control Panel'!$B$54*'Control Panel'!$B$55*C6</f>
        <v>0</v>
      </c>
      <c r="D13" s="11">
        <f>'Control Panel'!$B$54*'Control Panel'!$B$55*D6</f>
        <v>0</v>
      </c>
      <c r="E13" s="11">
        <f>'Control Panel'!$B$54*'Control Panel'!$B$55*E6</f>
        <v>0</v>
      </c>
      <c r="F13" s="11">
        <f>'Control Panel'!$B$54*'Control Panel'!$B$55*F6</f>
        <v>0</v>
      </c>
    </row>
    <row r="14" spans="1:9">
      <c r="A14" s="9" t="s">
        <v>229</v>
      </c>
      <c r="B14" s="11">
        <f>B7*'Control Panel'!$B$29</f>
        <v>0</v>
      </c>
      <c r="C14" s="11">
        <f>C7*'Control Panel'!$B$29</f>
        <v>0</v>
      </c>
      <c r="D14" s="11">
        <f>D7*'Control Panel'!$B$29</f>
        <v>0</v>
      </c>
      <c r="E14" s="11">
        <f>E7*'Control Panel'!$B$29</f>
        <v>0</v>
      </c>
      <c r="F14" s="11">
        <f>F7*'Control Panel'!$B$29</f>
        <v>0</v>
      </c>
    </row>
    <row r="15" spans="1:9">
      <c r="A15" s="9" t="s">
        <v>230</v>
      </c>
      <c r="B15" s="11">
        <f>(B12-B14)*'Control Panel'!$B$25</f>
        <v>0</v>
      </c>
      <c r="C15" s="11">
        <f>(C12-C14)*'Control Panel'!$B$25</f>
        <v>0</v>
      </c>
      <c r="D15" s="11">
        <f>(D12-D14)*'Control Panel'!$B$25</f>
        <v>0</v>
      </c>
      <c r="E15" s="11">
        <f>(E12-E14)*'Control Panel'!$B$25</f>
        <v>0</v>
      </c>
      <c r="F15" s="11">
        <f>(F12-F14)*'Control Panel'!$B$25</f>
        <v>0</v>
      </c>
    </row>
    <row r="16" spans="1:9">
      <c r="A16" s="2" t="s">
        <v>231</v>
      </c>
      <c r="B16" s="11">
        <f>B12-B14-B15</f>
        <v>0</v>
      </c>
      <c r="C16" s="11">
        <f>C12-C14-C15</f>
        <v>0</v>
      </c>
      <c r="D16" s="11">
        <f>D12-D14-D15</f>
        <v>0</v>
      </c>
      <c r="E16" s="11">
        <f>E12-E14-E15</f>
        <v>0</v>
      </c>
      <c r="F16" s="11">
        <f>F12-F14-F15</f>
        <v>0</v>
      </c>
    </row>
    <row r="17" spans="1:6">
      <c r="A17" s="9" t="s">
        <v>232</v>
      </c>
      <c r="B17" s="6" t="s">
        <v>233</v>
      </c>
      <c r="C17" s="6" t="s">
        <v>233</v>
      </c>
      <c r="D17" s="6" t="s">
        <v>233</v>
      </c>
      <c r="E17" s="6" t="s">
        <v>233</v>
      </c>
      <c r="F17" s="6" t="s">
        <v>233</v>
      </c>
    </row>
  </sheetData>
  <mergeCells count="1">
    <mergeCell ref="A1:I1"/>
  </mergeCells>
  <conditionalFormatting sqref="A1:M81">
    <cfRule type="containsText" dxfId="1" priority="1" operator="containsText" text="FAIL">
      <formula>NOT(ISERROR(SEARCH("FAIL",A1)))</formula>
    </cfRule>
    <cfRule type="containsText" dxfId="0" priority="2" operator="containsText" text="placeholder">
      <formula>NOT(ISERROR(SEARCH("placeholder",A1)))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17365D"/>
  </sheetPr>
  <dimension ref="A1:I24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0.7109375" customWidth="1"/>
    <col min="2" max="11" width="15.7109375" customWidth="1"/>
  </cols>
  <sheetData>
    <row r="1" spans="1:9" ht="24" customHeight="1">
      <c r="A1" s="1" t="s">
        <v>26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3" t="s">
        <v>2</v>
      </c>
      <c r="D2" s="2" t="s">
        <v>3</v>
      </c>
      <c r="E2" s="3" t="s">
        <v>4</v>
      </c>
    </row>
    <row r="3" spans="1:9">
      <c r="A3" s="4" t="s">
        <v>5</v>
      </c>
      <c r="B3" s="5" t="s">
        <v>6</v>
      </c>
      <c r="C3" s="3" t="s">
        <v>7</v>
      </c>
      <c r="D3" s="6" t="s">
        <v>8</v>
      </c>
    </row>
    <row r="5" spans="1:9">
      <c r="A5" s="10" t="s">
        <v>149</v>
      </c>
      <c r="B5" s="17">
        <f>'Control Panel'!$B$8</f>
        <v>2026</v>
      </c>
      <c r="C5" s="17">
        <f>B5+1</f>
        <v>2027</v>
      </c>
      <c r="D5" s="17">
        <f>C5+1</f>
        <v>2028</v>
      </c>
      <c r="E5" s="17">
        <f>D5+1</f>
        <v>2029</v>
      </c>
      <c r="F5" s="17">
        <f>E5+1</f>
        <v>2030</v>
      </c>
    </row>
    <row r="6" spans="1:9">
      <c r="A6" s="9" t="s">
        <v>234</v>
      </c>
      <c r="B6" s="11">
        <f>'Buyer Standalone'!B6</f>
        <v>0</v>
      </c>
      <c r="C6" s="11">
        <f>'Buyer Standalone'!C6</f>
        <v>0</v>
      </c>
      <c r="D6" s="11">
        <f>'Buyer Standalone'!D6</f>
        <v>0</v>
      </c>
      <c r="E6" s="11">
        <f>'Buyer Standalone'!E6</f>
        <v>0</v>
      </c>
      <c r="F6" s="11">
        <f>'Buyer Standalone'!F6</f>
        <v>0</v>
      </c>
    </row>
    <row r="7" spans="1:9">
      <c r="A7" s="9" t="s">
        <v>235</v>
      </c>
      <c r="B7" s="11">
        <f>'Target Standalone'!B6</f>
        <v>0</v>
      </c>
      <c r="C7" s="11">
        <f>'Target Standalone'!C6</f>
        <v>0</v>
      </c>
      <c r="D7" s="11">
        <f>'Target Standalone'!D6</f>
        <v>0</v>
      </c>
      <c r="E7" s="11">
        <f>'Target Standalone'!E6</f>
        <v>0</v>
      </c>
      <c r="F7" s="11">
        <f>'Target Standalone'!F6</f>
        <v>0</v>
      </c>
    </row>
    <row r="8" spans="1:9">
      <c r="A8" s="9" t="s">
        <v>224</v>
      </c>
      <c r="B8" s="11">
        <f>'Synergies'!B8</f>
        <v>0</v>
      </c>
      <c r="C8" s="11">
        <f>'Synergies'!C8</f>
        <v>0</v>
      </c>
      <c r="D8" s="11">
        <f>'Synergies'!D8</f>
        <v>0</v>
      </c>
      <c r="E8" s="11">
        <f>'Synergies'!E8</f>
        <v>0</v>
      </c>
      <c r="F8" s="11">
        <f>'Synergies'!F8</f>
        <v>0</v>
      </c>
    </row>
    <row r="9" spans="1:9">
      <c r="A9" s="2" t="s">
        <v>236</v>
      </c>
      <c r="B9" s="11">
        <f>SUM(B6:B8)</f>
        <v>0</v>
      </c>
      <c r="C9" s="11">
        <f>SUM(C6:C8)</f>
        <v>0</v>
      </c>
      <c r="D9" s="11">
        <f>SUM(D6:D8)</f>
        <v>0</v>
      </c>
      <c r="E9" s="11">
        <f>SUM(E6:E8)</f>
        <v>0</v>
      </c>
      <c r="F9" s="11">
        <f>SUM(F6:F8)</f>
        <v>0</v>
      </c>
    </row>
    <row r="10" spans="1:9">
      <c r="A10" s="9" t="s">
        <v>237</v>
      </c>
      <c r="B10" s="11">
        <f>'Buyer Standalone'!B8</f>
        <v>0</v>
      </c>
      <c r="C10" s="11">
        <f>'Buyer Standalone'!C8</f>
        <v>0</v>
      </c>
      <c r="D10" s="11">
        <f>'Buyer Standalone'!D8</f>
        <v>0</v>
      </c>
      <c r="E10" s="11">
        <f>'Buyer Standalone'!E8</f>
        <v>0</v>
      </c>
      <c r="F10" s="11">
        <f>'Buyer Standalone'!F8</f>
        <v>0</v>
      </c>
    </row>
    <row r="11" spans="1:9">
      <c r="A11" s="9" t="s">
        <v>238</v>
      </c>
      <c r="B11" s="11">
        <f>'Target Standalone'!B8</f>
        <v>0</v>
      </c>
      <c r="C11" s="11">
        <f>'Target Standalone'!C8</f>
        <v>0</v>
      </c>
      <c r="D11" s="11">
        <f>'Target Standalone'!D8</f>
        <v>0</v>
      </c>
      <c r="E11" s="11">
        <f>'Target Standalone'!E8</f>
        <v>0</v>
      </c>
      <c r="F11" s="11">
        <f>'Target Standalone'!F8</f>
        <v>0</v>
      </c>
    </row>
    <row r="12" spans="1:9">
      <c r="A12" s="9" t="s">
        <v>25</v>
      </c>
      <c r="B12" s="11">
        <f>'Synergies'!B12</f>
        <v>0</v>
      </c>
      <c r="C12" s="11">
        <f>'Synergies'!C12</f>
        <v>0</v>
      </c>
      <c r="D12" s="11">
        <f>'Synergies'!D12</f>
        <v>0</v>
      </c>
      <c r="E12" s="11">
        <f>'Synergies'!E12</f>
        <v>0</v>
      </c>
      <c r="F12" s="11">
        <f>'Synergies'!F12</f>
        <v>0</v>
      </c>
    </row>
    <row r="13" spans="1:9">
      <c r="A13" s="2" t="s">
        <v>239</v>
      </c>
      <c r="B13" s="11">
        <f>SUM(B10:B12)</f>
        <v>0</v>
      </c>
      <c r="C13" s="11">
        <f>SUM(C10:C12)</f>
        <v>0</v>
      </c>
      <c r="D13" s="11">
        <f>SUM(D10:D12)</f>
        <v>0</v>
      </c>
      <c r="E13" s="11">
        <f>SUM(E10:E12)</f>
        <v>0</v>
      </c>
      <c r="F13" s="11">
        <f>SUM(F10:F12)</f>
        <v>0</v>
      </c>
    </row>
    <row r="14" spans="1:9">
      <c r="A14" s="9" t="s">
        <v>240</v>
      </c>
      <c r="B14" s="11">
        <f>'Buyer Standalone'!B15</f>
        <v>0</v>
      </c>
      <c r="C14" s="11">
        <f>'Buyer Standalone'!C15</f>
        <v>0</v>
      </c>
      <c r="D14" s="11">
        <f>'Buyer Standalone'!D15</f>
        <v>0</v>
      </c>
      <c r="E14" s="11">
        <f>'Buyer Standalone'!E15</f>
        <v>0</v>
      </c>
      <c r="F14" s="11">
        <f>'Buyer Standalone'!F15</f>
        <v>0</v>
      </c>
    </row>
    <row r="15" spans="1:9">
      <c r="A15" s="9" t="s">
        <v>241</v>
      </c>
      <c r="B15" s="11">
        <f>'Target Standalone'!B15</f>
        <v>0</v>
      </c>
      <c r="C15" s="11">
        <f>'Target Standalone'!C15</f>
        <v>0</v>
      </c>
      <c r="D15" s="11">
        <f>'Target Standalone'!D15</f>
        <v>0</v>
      </c>
      <c r="E15" s="11">
        <f>'Target Standalone'!E15</f>
        <v>0</v>
      </c>
      <c r="F15" s="11">
        <f>'Target Standalone'!F15</f>
        <v>0</v>
      </c>
    </row>
    <row r="16" spans="1:9">
      <c r="A16" s="9" t="s">
        <v>242</v>
      </c>
      <c r="B16" s="11">
        <f>'Synergies'!B16</f>
        <v>0</v>
      </c>
      <c r="C16" s="11">
        <f>'Synergies'!C16</f>
        <v>0</v>
      </c>
      <c r="D16" s="11">
        <f>'Synergies'!D16</f>
        <v>0</v>
      </c>
      <c r="E16" s="11">
        <f>'Synergies'!E16</f>
        <v>0</v>
      </c>
      <c r="F16" s="11">
        <f>'Synergies'!F16</f>
        <v>0</v>
      </c>
    </row>
    <row r="17" spans="1:6">
      <c r="A17" s="9" t="s">
        <v>243</v>
      </c>
      <c r="B17" s="11">
        <f>-'Purchase Accounting'!$B$18*(1-'Control Panel'!$B$25)</f>
        <v>0</v>
      </c>
      <c r="C17" s="11">
        <f>-'Purchase Accounting'!$B$18*(1-'Control Panel'!$B$25)</f>
        <v>0</v>
      </c>
      <c r="D17" s="11">
        <f>-'Purchase Accounting'!$B$18*(1-'Control Panel'!$B$25)</f>
        <v>0</v>
      </c>
      <c r="E17" s="11">
        <f>-'Purchase Accounting'!$B$18*(1-'Control Panel'!$B$25)</f>
        <v>0</v>
      </c>
      <c r="F17" s="11">
        <f>-'Purchase Accounting'!$B$18*(1-'Control Panel'!$B$25)</f>
        <v>0</v>
      </c>
    </row>
    <row r="18" spans="1:6">
      <c r="A18" s="9" t="s">
        <v>244</v>
      </c>
      <c r="B18" s="11">
        <f>-'Financing Assumptions'!B10*(1-'Control Panel'!$B$25)</f>
        <v>0</v>
      </c>
      <c r="C18" s="11">
        <f>-'Financing Assumptions'!C10*(1-'Control Panel'!$B$25)</f>
        <v>0</v>
      </c>
      <c r="D18" s="11">
        <f>-'Financing Assumptions'!D10*(1-'Control Panel'!$B$25)</f>
        <v>0</v>
      </c>
      <c r="E18" s="11">
        <f>-'Financing Assumptions'!E10*(1-'Control Panel'!$B$25)</f>
        <v>0</v>
      </c>
      <c r="F18" s="11">
        <f>-'Financing Assumptions'!F10*(1-'Control Panel'!$B$25)</f>
        <v>0</v>
      </c>
    </row>
    <row r="19" spans="1:6">
      <c r="A19" s="9" t="s">
        <v>245</v>
      </c>
      <c r="B19" s="11">
        <f>-'Sources &amp; Uses'!$B$15*'Control Panel'!$B$24*(1-'Control Panel'!$B$25)</f>
        <v>0</v>
      </c>
      <c r="C19" s="11">
        <f>-'Sources &amp; Uses'!$B$15*'Control Panel'!$B$24*(1-'Control Panel'!$B$25)</f>
        <v>0</v>
      </c>
      <c r="D19" s="11">
        <f>-'Sources &amp; Uses'!$B$15*'Control Panel'!$B$24*(1-'Control Panel'!$B$25)</f>
        <v>0</v>
      </c>
      <c r="E19" s="11">
        <f>-'Sources &amp; Uses'!$B$15*'Control Panel'!$B$24*(1-'Control Panel'!$B$25)</f>
        <v>0</v>
      </c>
      <c r="F19" s="11">
        <f>-'Sources &amp; Uses'!$B$15*'Control Panel'!$B$24*(1-'Control Panel'!$B$25)</f>
        <v>0</v>
      </c>
    </row>
    <row r="20" spans="1:6">
      <c r="A20" s="9" t="s">
        <v>246</v>
      </c>
      <c r="B20" s="11">
        <f>IF(B$5='Control Panel'!$B$8,-'Sources &amp; Uses'!$B$8*(1-'Control Panel'!$B$25),0)</f>
        <v>0</v>
      </c>
      <c r="C20" s="11">
        <f>IF(C$5='Control Panel'!$B$8,-'Sources &amp; Uses'!$B$8*(1-'Control Panel'!$B$25),0)</f>
        <v>0</v>
      </c>
      <c r="D20" s="11">
        <f>IF(D$5='Control Panel'!$B$8,-'Sources &amp; Uses'!$B$8*(1-'Control Panel'!$B$25),0)</f>
        <v>0</v>
      </c>
      <c r="E20" s="11">
        <f>IF(E$5='Control Panel'!$B$8,-'Sources &amp; Uses'!$B$8*(1-'Control Panel'!$B$25),0)</f>
        <v>0</v>
      </c>
      <c r="F20" s="11">
        <f>IF(F$5='Control Panel'!$B$8,-'Sources &amp; Uses'!$B$8*(1-'Control Panel'!$B$25),0)</f>
        <v>0</v>
      </c>
    </row>
    <row r="21" spans="1:6">
      <c r="A21" s="9" t="s">
        <v>247</v>
      </c>
      <c r="B21" s="11">
        <f>0</f>
        <v>0</v>
      </c>
      <c r="C21" s="11">
        <f>0</f>
        <v>0</v>
      </c>
      <c r="D21" s="11">
        <f>0</f>
        <v>0</v>
      </c>
      <c r="E21" s="11">
        <f>0</f>
        <v>0</v>
      </c>
      <c r="F21" s="11">
        <f>0</f>
        <v>0</v>
      </c>
    </row>
    <row r="22" spans="1:6">
      <c r="A22" s="2" t="s">
        <v>248</v>
      </c>
      <c r="B22" s="11">
        <f>SUM(B14:B21)</f>
        <v>0</v>
      </c>
      <c r="C22" s="11">
        <f>SUM(C14:C21)</f>
        <v>0</v>
      </c>
      <c r="D22" s="11">
        <f>SUM(D14:D21)</f>
        <v>0</v>
      </c>
      <c r="E22" s="11">
        <f>SUM(E14:E21)</f>
        <v>0</v>
      </c>
      <c r="F22" s="11">
        <f>SUM(F14:F21)</f>
        <v>0</v>
      </c>
    </row>
    <row r="23" spans="1:6">
      <c r="A23" s="9" t="s">
        <v>184</v>
      </c>
      <c r="B23" s="18">
        <f>'Ownership EPS'!B8</f>
        <v>0</v>
      </c>
      <c r="C23" s="18">
        <f>'Ownership EPS'!C8</f>
        <v>0</v>
      </c>
      <c r="D23" s="18">
        <f>'Ownership EPS'!D8</f>
        <v>0</v>
      </c>
      <c r="E23" s="18">
        <f>'Ownership EPS'!E8</f>
        <v>0</v>
      </c>
      <c r="F23" s="18">
        <f>'Ownership EPS'!F8</f>
        <v>0</v>
      </c>
    </row>
    <row r="24" spans="1:6">
      <c r="A24" s="2" t="s">
        <v>249</v>
      </c>
      <c r="B24" s="13">
        <f>B22/B23</f>
        <v>0</v>
      </c>
      <c r="C24" s="13">
        <f>C22/C23</f>
        <v>0</v>
      </c>
      <c r="D24" s="13">
        <f>D22/D23</f>
        <v>0</v>
      </c>
      <c r="E24" s="13">
        <f>E22/E23</f>
        <v>0</v>
      </c>
      <c r="F24" s="13">
        <f>F22/F23</f>
        <v>0</v>
      </c>
    </row>
  </sheetData>
  <mergeCells count="1">
    <mergeCell ref="A1:I1"/>
  </mergeCells>
  <conditionalFormatting sqref="A1:M81">
    <cfRule type="containsText" dxfId="1" priority="1" operator="containsText" text="FAIL">
      <formula>NOT(ISERROR(SEARCH("FAIL",A1)))</formula>
    </cfRule>
    <cfRule type="containsText" dxfId="0" priority="2" operator="containsText" text="placeholder">
      <formula>NOT(ISERROR(SEARCH("placeholder",A1)))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17365D"/>
  </sheetPr>
  <dimension ref="A1:I15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0.7109375" customWidth="1"/>
    <col min="2" max="11" width="15.7109375" customWidth="1"/>
  </cols>
  <sheetData>
    <row r="1" spans="1:9" ht="24" customHeight="1">
      <c r="A1" s="1" t="s">
        <v>27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3" t="s">
        <v>2</v>
      </c>
      <c r="D2" s="2" t="s">
        <v>3</v>
      </c>
      <c r="E2" s="3" t="s">
        <v>4</v>
      </c>
    </row>
    <row r="3" spans="1:9">
      <c r="A3" s="4" t="s">
        <v>5</v>
      </c>
      <c r="B3" s="5" t="s">
        <v>6</v>
      </c>
      <c r="C3" s="3" t="s">
        <v>7</v>
      </c>
      <c r="D3" s="6" t="s">
        <v>8</v>
      </c>
    </row>
    <row r="5" spans="1:9">
      <c r="A5" s="10" t="s">
        <v>149</v>
      </c>
      <c r="B5" s="17">
        <f>'Control Panel'!$B$8</f>
        <v>2026</v>
      </c>
      <c r="C5" s="17">
        <f>B5+1</f>
        <v>2027</v>
      </c>
      <c r="D5" s="17">
        <f>C5+1</f>
        <v>2028</v>
      </c>
      <c r="E5" s="17">
        <f>D5+1</f>
        <v>2029</v>
      </c>
      <c r="F5" s="17">
        <f>E5+1</f>
        <v>2030</v>
      </c>
    </row>
    <row r="6" spans="1:9">
      <c r="A6" s="9" t="s">
        <v>56</v>
      </c>
      <c r="B6" s="13">
        <f>'Buyer Standalone'!B16</f>
        <v>0</v>
      </c>
      <c r="C6" s="13">
        <f>'Buyer Standalone'!C16</f>
        <v>0</v>
      </c>
      <c r="D6" s="13">
        <f>'Buyer Standalone'!D16</f>
        <v>0</v>
      </c>
      <c r="E6" s="13">
        <f>'Buyer Standalone'!E16</f>
        <v>0</v>
      </c>
      <c r="F6" s="13">
        <f>'Buyer Standalone'!F16</f>
        <v>0</v>
      </c>
    </row>
    <row r="7" spans="1:9">
      <c r="A7" s="9" t="s">
        <v>249</v>
      </c>
      <c r="B7" s="13">
        <f>'Pro Forma Income Statement'!B24</f>
        <v>0</v>
      </c>
      <c r="C7" s="13">
        <f>'Pro Forma Income Statement'!C24</f>
        <v>0</v>
      </c>
      <c r="D7" s="13">
        <f>'Pro Forma Income Statement'!D24</f>
        <v>0</v>
      </c>
      <c r="E7" s="13">
        <f>'Pro Forma Income Statement'!E24</f>
        <v>0</v>
      </c>
      <c r="F7" s="13">
        <f>'Pro Forma Income Statement'!F24</f>
        <v>0</v>
      </c>
    </row>
    <row r="8" spans="1:9">
      <c r="A8" s="2" t="s">
        <v>250</v>
      </c>
      <c r="B8" s="12">
        <f>B7/B6-1</f>
        <v>0</v>
      </c>
      <c r="C8" s="12">
        <f>C7/C6-1</f>
        <v>0</v>
      </c>
      <c r="D8" s="12">
        <f>D7/D6-1</f>
        <v>0</v>
      </c>
      <c r="E8" s="12">
        <f>E7/E6-1</f>
        <v>0</v>
      </c>
      <c r="F8" s="12">
        <f>F7/F6-1</f>
        <v>0</v>
      </c>
    </row>
    <row r="9" spans="1:9">
      <c r="A9" s="9" t="s">
        <v>251</v>
      </c>
      <c r="B9" s="13">
        <f>'Synergies'!B16/'Pro Forma Income Statement'!B23</f>
        <v>0</v>
      </c>
      <c r="C9" s="13">
        <f>'Synergies'!C16/'Pro Forma Income Statement'!C23</f>
        <v>0</v>
      </c>
      <c r="D9" s="13">
        <f>'Synergies'!D16/'Pro Forma Income Statement'!D23</f>
        <v>0</v>
      </c>
      <c r="E9" s="13">
        <f>'Synergies'!E16/'Pro Forma Income Statement'!E23</f>
        <v>0</v>
      </c>
      <c r="F9" s="13">
        <f>'Synergies'!F16/'Pro Forma Income Statement'!F23</f>
        <v>0</v>
      </c>
    </row>
    <row r="10" spans="1:9">
      <c r="A10" s="9" t="s">
        <v>252</v>
      </c>
      <c r="B10" s="13">
        <f>('Pro Forma Income Statement'!B18+'Pro Forma Income Statement'!B19)/'Pro Forma Income Statement'!B23</f>
        <v>0</v>
      </c>
      <c r="C10" s="13">
        <f>('Pro Forma Income Statement'!C18+'Pro Forma Income Statement'!C19)/'Pro Forma Income Statement'!C23</f>
        <v>0</v>
      </c>
      <c r="D10" s="13">
        <f>('Pro Forma Income Statement'!D18+'Pro Forma Income Statement'!D19)/'Pro Forma Income Statement'!D23</f>
        <v>0</v>
      </c>
      <c r="E10" s="13">
        <f>('Pro Forma Income Statement'!E18+'Pro Forma Income Statement'!E19)/'Pro Forma Income Statement'!E23</f>
        <v>0</v>
      </c>
      <c r="F10" s="13">
        <f>('Pro Forma Income Statement'!F18+'Pro Forma Income Statement'!F19)/'Pro Forma Income Statement'!F23</f>
        <v>0</v>
      </c>
    </row>
    <row r="11" spans="1:9">
      <c r="A11" s="9" t="s">
        <v>253</v>
      </c>
      <c r="B11" s="13">
        <f>'Pro Forma Income Statement'!B17/'Pro Forma Income Statement'!B23</f>
        <v>0</v>
      </c>
      <c r="C11" s="13">
        <f>'Pro Forma Income Statement'!C17/'Pro Forma Income Statement'!C23</f>
        <v>0</v>
      </c>
      <c r="D11" s="13">
        <f>'Pro Forma Income Statement'!D17/'Pro Forma Income Statement'!D23</f>
        <v>0</v>
      </c>
      <c r="E11" s="13">
        <f>'Pro Forma Income Statement'!E17/'Pro Forma Income Statement'!E23</f>
        <v>0</v>
      </c>
      <c r="F11" s="13">
        <f>'Pro Forma Income Statement'!F17/'Pro Forma Income Statement'!F23</f>
        <v>0</v>
      </c>
    </row>
    <row r="12" spans="1:9">
      <c r="A12" s="9" t="s">
        <v>254</v>
      </c>
      <c r="B12" s="13">
        <f>'Pro Forma Income Statement'!B20/'Pro Forma Income Statement'!B23</f>
        <v>0</v>
      </c>
      <c r="C12" s="13">
        <f>'Pro Forma Income Statement'!C20/'Pro Forma Income Statement'!C23</f>
        <v>0</v>
      </c>
      <c r="D12" s="13">
        <f>'Pro Forma Income Statement'!D20/'Pro Forma Income Statement'!D23</f>
        <v>0</v>
      </c>
      <c r="E12" s="13">
        <f>'Pro Forma Income Statement'!E20/'Pro Forma Income Statement'!E23</f>
        <v>0</v>
      </c>
      <c r="F12" s="13">
        <f>'Pro Forma Income Statement'!F20/'Pro Forma Income Statement'!F23</f>
        <v>0</v>
      </c>
    </row>
    <row r="13" spans="1:9">
      <c r="A13" s="2" t="s">
        <v>255</v>
      </c>
      <c r="B13" s="11">
        <f>MAX(0,(B6*'Pro Forma Income Statement'!B23-'Buyer Standalone'!B15-'Target Standalone'!B15-'Pro Forma Income Statement'!B17-'Pro Forma Income Statement'!B18-'Pro Forma Income Statement'!B19)/(1-'Control Panel'!$B$25))</f>
        <v>0</v>
      </c>
      <c r="C13" s="11">
        <f>MAX(0,(C6*'Pro Forma Income Statement'!C23-'Buyer Standalone'!C15-'Target Standalone'!C15-'Pro Forma Income Statement'!C17-'Pro Forma Income Statement'!C18-'Pro Forma Income Statement'!C19)/(1-'Control Panel'!$B$25))</f>
        <v>0</v>
      </c>
      <c r="D13" s="11">
        <f>MAX(0,(D6*'Pro Forma Income Statement'!D23-'Buyer Standalone'!D15-'Target Standalone'!D15-'Pro Forma Income Statement'!D17-'Pro Forma Income Statement'!D18-'Pro Forma Income Statement'!D19)/(1-'Control Panel'!$B$25))</f>
        <v>0</v>
      </c>
      <c r="E13" s="11">
        <f>MAX(0,(E6*'Pro Forma Income Statement'!E23-'Buyer Standalone'!E15-'Target Standalone'!E15-'Pro Forma Income Statement'!E17-'Pro Forma Income Statement'!E18-'Pro Forma Income Statement'!E19)/(1-'Control Panel'!$B$25))</f>
        <v>0</v>
      </c>
      <c r="F13" s="11">
        <f>MAX(0,(F6*'Pro Forma Income Statement'!F23-'Buyer Standalone'!F15-'Target Standalone'!F15-'Pro Forma Income Statement'!F17-'Pro Forma Income Statement'!F18-'Pro Forma Income Statement'!F19)/(1-'Control Panel'!$B$25))</f>
        <v>0</v>
      </c>
    </row>
    <row r="14" spans="1:9">
      <c r="A14" s="9" t="s">
        <v>256</v>
      </c>
      <c r="B14" s="13">
        <f>'Control Panel'!$B$14-((B7-B6)*'Pro Forma Income Statement'!B23/'Control Panel'!$B$16)</f>
        <v>0</v>
      </c>
      <c r="C14" s="13">
        <f>'Control Panel'!$B$14-((C7-C6)*'Pro Forma Income Statement'!C23/'Control Panel'!$B$16)</f>
        <v>0</v>
      </c>
      <c r="D14" s="13">
        <f>'Control Panel'!$B$14-((D7-D6)*'Pro Forma Income Statement'!D23/'Control Panel'!$B$16)</f>
        <v>0</v>
      </c>
      <c r="E14" s="13">
        <f>'Control Panel'!$B$14-((E7-E6)*'Pro Forma Income Statement'!E23/'Control Panel'!$B$16)</f>
        <v>0</v>
      </c>
      <c r="F14" s="13">
        <f>'Control Panel'!$B$14-((F7-F6)*'Pro Forma Income Statement'!F23/'Control Panel'!$B$16)</f>
        <v>0</v>
      </c>
    </row>
    <row r="15" spans="1:9">
      <c r="A15" s="9" t="s">
        <v>257</v>
      </c>
      <c r="B15" s="12">
        <f>IFERROR(B9/(B7-B6),0)</f>
        <v>0</v>
      </c>
      <c r="C15" s="12">
        <f>IFERROR(C9/(C7-C6),0)</f>
        <v>0</v>
      </c>
      <c r="D15" s="12">
        <f>IFERROR(D9/(D7-D6),0)</f>
        <v>0</v>
      </c>
      <c r="E15" s="12">
        <f>IFERROR(E9/(E7-E6),0)</f>
        <v>0</v>
      </c>
      <c r="F15" s="12">
        <f>IFERROR(F9/(F7-F6),0)</f>
        <v>0</v>
      </c>
    </row>
  </sheetData>
  <mergeCells count="1">
    <mergeCell ref="A1:I1"/>
  </mergeCells>
  <conditionalFormatting sqref="A1:M81">
    <cfRule type="containsText" dxfId="1" priority="1" operator="containsText" text="FAIL">
      <formula>NOT(ISERROR(SEARCH("FAIL",A1)))</formula>
    </cfRule>
    <cfRule type="containsText" dxfId="0" priority="2" operator="containsText" text="placeholder">
      <formula>NOT(ISERROR(SEARCH("placeholder",A1)))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17365D"/>
  </sheetPr>
  <dimension ref="A1:I13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0.7109375" customWidth="1"/>
    <col min="2" max="11" width="15.7109375" customWidth="1"/>
  </cols>
  <sheetData>
    <row r="1" spans="1:9" ht="24" customHeight="1">
      <c r="A1" s="1" t="s">
        <v>28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3" t="s">
        <v>2</v>
      </c>
      <c r="D2" s="2" t="s">
        <v>3</v>
      </c>
      <c r="E2" s="3" t="s">
        <v>4</v>
      </c>
    </row>
    <row r="3" spans="1:9">
      <c r="A3" s="4" t="s">
        <v>5</v>
      </c>
      <c r="B3" s="5" t="s">
        <v>6</v>
      </c>
      <c r="C3" s="3" t="s">
        <v>7</v>
      </c>
      <c r="D3" s="6" t="s">
        <v>8</v>
      </c>
    </row>
    <row r="5" spans="1:9">
      <c r="A5" s="10" t="s">
        <v>149</v>
      </c>
      <c r="B5" s="17">
        <f>'Control Panel'!$B$8</f>
        <v>2026</v>
      </c>
      <c r="C5" s="17">
        <f>B5+1</f>
        <v>2027</v>
      </c>
      <c r="D5" s="17">
        <f>C5+1</f>
        <v>2028</v>
      </c>
      <c r="E5" s="17">
        <f>D5+1</f>
        <v>2029</v>
      </c>
      <c r="F5" s="17">
        <f>E5+1</f>
        <v>2030</v>
      </c>
    </row>
    <row r="6" spans="1:9">
      <c r="A6" s="9" t="s">
        <v>258</v>
      </c>
      <c r="B6" s="18">
        <f>'Control Panel'!$B$12</f>
        <v>0</v>
      </c>
      <c r="C6" s="18">
        <f>'Control Panel'!$B$12</f>
        <v>0</v>
      </c>
      <c r="D6" s="18">
        <f>'Control Panel'!$B$12</f>
        <v>0</v>
      </c>
      <c r="E6" s="18">
        <f>'Control Panel'!$B$12</f>
        <v>0</v>
      </c>
      <c r="F6" s="18">
        <f>'Control Panel'!$B$12</f>
        <v>0</v>
      </c>
    </row>
    <row r="7" spans="1:9">
      <c r="A7" s="9" t="s">
        <v>259</v>
      </c>
      <c r="B7" s="18">
        <f>'Transaction Assumptions'!$B$19</f>
        <v>0</v>
      </c>
      <c r="C7" s="18">
        <f>'Transaction Assumptions'!$B$19</f>
        <v>0</v>
      </c>
      <c r="D7" s="18">
        <f>'Transaction Assumptions'!$B$19</f>
        <v>0</v>
      </c>
      <c r="E7" s="18">
        <f>'Transaction Assumptions'!$B$19</f>
        <v>0</v>
      </c>
      <c r="F7" s="18">
        <f>'Transaction Assumptions'!$B$19</f>
        <v>0</v>
      </c>
    </row>
    <row r="8" spans="1:9">
      <c r="A8" s="2" t="s">
        <v>184</v>
      </c>
      <c r="B8" s="18">
        <f>B6+B7</f>
        <v>0</v>
      </c>
      <c r="C8" s="18">
        <f>C6+C7</f>
        <v>0</v>
      </c>
      <c r="D8" s="18">
        <f>D6+D7</f>
        <v>0</v>
      </c>
      <c r="E8" s="18">
        <f>E6+E7</f>
        <v>0</v>
      </c>
      <c r="F8" s="18">
        <f>F6+F7</f>
        <v>0</v>
      </c>
    </row>
    <row r="9" spans="1:9">
      <c r="A9" s="2" t="s">
        <v>185</v>
      </c>
      <c r="B9" s="12">
        <f>B6/B8</f>
        <v>0</v>
      </c>
      <c r="C9" s="12">
        <f>C6/C8</f>
        <v>0</v>
      </c>
      <c r="D9" s="12">
        <f>D6/D8</f>
        <v>0</v>
      </c>
      <c r="E9" s="12">
        <f>E6/E8</f>
        <v>0</v>
      </c>
      <c r="F9" s="12">
        <f>F6/F8</f>
        <v>0</v>
      </c>
    </row>
    <row r="10" spans="1:9">
      <c r="A10" s="2" t="s">
        <v>186</v>
      </c>
      <c r="B10" s="12">
        <f>B7/B8</f>
        <v>0</v>
      </c>
      <c r="C10" s="12">
        <f>C7/C8</f>
        <v>0</v>
      </c>
      <c r="D10" s="12">
        <f>D7/D8</f>
        <v>0</v>
      </c>
      <c r="E10" s="12">
        <f>E7/E8</f>
        <v>0</v>
      </c>
      <c r="F10" s="12">
        <f>F7/F8</f>
        <v>0</v>
      </c>
    </row>
    <row r="11" spans="1:9">
      <c r="A11" s="9" t="s">
        <v>183</v>
      </c>
      <c r="B11" s="18">
        <f>'Transaction Assumptions'!$B$20</f>
        <v>0</v>
      </c>
      <c r="C11" s="18">
        <f>'Transaction Assumptions'!$B$20</f>
        <v>0</v>
      </c>
      <c r="D11" s="18">
        <f>'Transaction Assumptions'!$B$20</f>
        <v>0</v>
      </c>
      <c r="E11" s="18">
        <f>'Transaction Assumptions'!$B$20</f>
        <v>0</v>
      </c>
      <c r="F11" s="18">
        <f>'Transaction Assumptions'!$B$20</f>
        <v>0</v>
      </c>
    </row>
    <row r="12" spans="1:9">
      <c r="A12" s="9" t="s">
        <v>260</v>
      </c>
      <c r="B12" s="12">
        <f>'Accretion Dilution'!B8</f>
        <v>0</v>
      </c>
      <c r="C12" s="12">
        <f>'Accretion Dilution'!C8</f>
        <v>0</v>
      </c>
      <c r="D12" s="12">
        <f>'Accretion Dilution'!D8</f>
        <v>0</v>
      </c>
      <c r="E12" s="12">
        <f>'Accretion Dilution'!E8</f>
        <v>0</v>
      </c>
      <c r="F12" s="12">
        <f>'Accretion Dilution'!F8</f>
        <v>0</v>
      </c>
    </row>
    <row r="13" spans="1:9">
      <c r="A13" s="9" t="s">
        <v>261</v>
      </c>
      <c r="B13" s="13">
        <f>'Control Panel'!$B$10</f>
        <v>0</v>
      </c>
      <c r="C13" s="13">
        <f>'Control Panel'!$B$10</f>
        <v>0</v>
      </c>
      <c r="D13" s="13">
        <f>'Control Panel'!$B$10</f>
        <v>0</v>
      </c>
      <c r="E13" s="13">
        <f>'Control Panel'!$B$10</f>
        <v>0</v>
      </c>
      <c r="F13" s="13">
        <f>'Control Panel'!$B$10</f>
        <v>0</v>
      </c>
    </row>
  </sheetData>
  <mergeCells count="1">
    <mergeCell ref="A1:I1"/>
  </mergeCells>
  <conditionalFormatting sqref="A1:M81">
    <cfRule type="containsText" dxfId="1" priority="1" operator="containsText" text="FAIL">
      <formula>NOT(ISERROR(SEARCH("FAIL",A1)))</formula>
    </cfRule>
    <cfRule type="containsText" dxfId="0" priority="2" operator="containsText" text="placeholder">
      <formula>NOT(ISERROR(SEARCH("placeholder",A1)))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17365D"/>
  </sheetPr>
  <dimension ref="A1:I48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1" width="16.7109375" customWidth="1"/>
  </cols>
  <sheetData>
    <row r="1" spans="1:9" ht="24" customHeight="1">
      <c r="A1" s="1" t="s">
        <v>29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3" t="s">
        <v>2</v>
      </c>
      <c r="D2" s="2" t="s">
        <v>3</v>
      </c>
      <c r="E2" s="3" t="s">
        <v>4</v>
      </c>
    </row>
    <row r="3" spans="1:9">
      <c r="A3" s="4" t="s">
        <v>5</v>
      </c>
      <c r="B3" s="5" t="s">
        <v>6</v>
      </c>
      <c r="C3" s="3" t="s">
        <v>7</v>
      </c>
      <c r="D3" s="6" t="s">
        <v>8</v>
      </c>
    </row>
    <row r="5" spans="1:9">
      <c r="A5" s="7" t="s">
        <v>262</v>
      </c>
    </row>
    <row r="6" spans="1:9">
      <c r="A6" s="10" t="s">
        <v>263</v>
      </c>
      <c r="B6" s="10">
        <v>0.5</v>
      </c>
      <c r="C6" s="10">
        <v>0.75</v>
      </c>
      <c r="D6" s="10">
        <v>1</v>
      </c>
      <c r="E6" s="10">
        <v>1.25</v>
      </c>
      <c r="F6" s="10">
        <v>1.5</v>
      </c>
    </row>
    <row r="7" spans="1:9">
      <c r="A7" s="21">
        <v>0.1</v>
      </c>
      <c r="B7" s="12">
        <f>((('Buyer Standalone'!B15+'Target Standalone'!B15+('Control Panel'!$B$50*B$6*(1-'Control Panel'!$B$25))-'Financing Assumptions'!B10*(1-'Control Panel'!$B$25)-'Purchase Accounting'!$B$18*(1-'Control Panel'!$B$25))/('Control Panel'!$B$12+(('Control Panel'!$B$15*(1+$A7)*'Control Panel'!$B$16*'Control Panel'!$B$20)/'Control Panel'!$B$10)))/'Buyer Standalone'!B16)-1</f>
        <v>0</v>
      </c>
      <c r="C7" s="12">
        <f>((('Buyer Standalone'!B15+'Target Standalone'!B15+('Control Panel'!$B$50*C$6*(1-'Control Panel'!$B$25))-'Financing Assumptions'!B10*(1-'Control Panel'!$B$25)-'Purchase Accounting'!$B$18*(1-'Control Panel'!$B$25))/('Control Panel'!$B$12+(('Control Panel'!$B$15*(1+$A7)*'Control Panel'!$B$16*'Control Panel'!$B$20)/'Control Panel'!$B$10)))/'Buyer Standalone'!B16)-1</f>
        <v>0</v>
      </c>
      <c r="D7" s="12">
        <f>((('Buyer Standalone'!B15+'Target Standalone'!B15+('Control Panel'!$B$50*D$6*(1-'Control Panel'!$B$25))-'Financing Assumptions'!B10*(1-'Control Panel'!$B$25)-'Purchase Accounting'!$B$18*(1-'Control Panel'!$B$25))/('Control Panel'!$B$12+(('Control Panel'!$B$15*(1+$A7)*'Control Panel'!$B$16*'Control Panel'!$B$20)/'Control Panel'!$B$10)))/'Buyer Standalone'!B16)-1</f>
        <v>0</v>
      </c>
      <c r="E7" s="12">
        <f>((('Buyer Standalone'!B15+'Target Standalone'!B15+('Control Panel'!$B$50*E$6*(1-'Control Panel'!$B$25))-'Financing Assumptions'!B10*(1-'Control Panel'!$B$25)-'Purchase Accounting'!$B$18*(1-'Control Panel'!$B$25))/('Control Panel'!$B$12+(('Control Panel'!$B$15*(1+$A7)*'Control Panel'!$B$16*'Control Panel'!$B$20)/'Control Panel'!$B$10)))/'Buyer Standalone'!B16)-1</f>
        <v>0</v>
      </c>
      <c r="F7" s="12">
        <f>((('Buyer Standalone'!B15+'Target Standalone'!B15+('Control Panel'!$B$50*F$6*(1-'Control Panel'!$B$25))-'Financing Assumptions'!B10*(1-'Control Panel'!$B$25)-'Purchase Accounting'!$B$18*(1-'Control Panel'!$B$25))/('Control Panel'!$B$12+(('Control Panel'!$B$15*(1+$A7)*'Control Panel'!$B$16*'Control Panel'!$B$20)/'Control Panel'!$B$10)))/'Buyer Standalone'!B16)-1</f>
        <v>0</v>
      </c>
    </row>
    <row r="8" spans="1:9">
      <c r="A8" s="21">
        <v>0.2</v>
      </c>
      <c r="B8" s="12">
        <f>((('Buyer Standalone'!B15+'Target Standalone'!B15+('Control Panel'!$B$50*B$6*(1-'Control Panel'!$B$25))-'Financing Assumptions'!B10*(1-'Control Panel'!$B$25)-'Purchase Accounting'!$B$18*(1-'Control Panel'!$B$25))/('Control Panel'!$B$12+(('Control Panel'!$B$15*(1+$A8)*'Control Panel'!$B$16*'Control Panel'!$B$20)/'Control Panel'!$B$10)))/'Buyer Standalone'!B16)-1</f>
        <v>0</v>
      </c>
      <c r="C8" s="12">
        <f>((('Buyer Standalone'!B15+'Target Standalone'!B15+('Control Panel'!$B$50*C$6*(1-'Control Panel'!$B$25))-'Financing Assumptions'!B10*(1-'Control Panel'!$B$25)-'Purchase Accounting'!$B$18*(1-'Control Panel'!$B$25))/('Control Panel'!$B$12+(('Control Panel'!$B$15*(1+$A8)*'Control Panel'!$B$16*'Control Panel'!$B$20)/'Control Panel'!$B$10)))/'Buyer Standalone'!B16)-1</f>
        <v>0</v>
      </c>
      <c r="D8" s="12">
        <f>((('Buyer Standalone'!B15+'Target Standalone'!B15+('Control Panel'!$B$50*D$6*(1-'Control Panel'!$B$25))-'Financing Assumptions'!B10*(1-'Control Panel'!$B$25)-'Purchase Accounting'!$B$18*(1-'Control Panel'!$B$25))/('Control Panel'!$B$12+(('Control Panel'!$B$15*(1+$A8)*'Control Panel'!$B$16*'Control Panel'!$B$20)/'Control Panel'!$B$10)))/'Buyer Standalone'!B16)-1</f>
        <v>0</v>
      </c>
      <c r="E8" s="12">
        <f>((('Buyer Standalone'!B15+'Target Standalone'!B15+('Control Panel'!$B$50*E$6*(1-'Control Panel'!$B$25))-'Financing Assumptions'!B10*(1-'Control Panel'!$B$25)-'Purchase Accounting'!$B$18*(1-'Control Panel'!$B$25))/('Control Panel'!$B$12+(('Control Panel'!$B$15*(1+$A8)*'Control Panel'!$B$16*'Control Panel'!$B$20)/'Control Panel'!$B$10)))/'Buyer Standalone'!B16)-1</f>
        <v>0</v>
      </c>
      <c r="F8" s="12">
        <f>((('Buyer Standalone'!B15+'Target Standalone'!B15+('Control Panel'!$B$50*F$6*(1-'Control Panel'!$B$25))-'Financing Assumptions'!B10*(1-'Control Panel'!$B$25)-'Purchase Accounting'!$B$18*(1-'Control Panel'!$B$25))/('Control Panel'!$B$12+(('Control Panel'!$B$15*(1+$A8)*'Control Panel'!$B$16*'Control Panel'!$B$20)/'Control Panel'!$B$10)))/'Buyer Standalone'!B16)-1</f>
        <v>0</v>
      </c>
    </row>
    <row r="9" spans="1:9">
      <c r="A9" s="21">
        <v>0.3</v>
      </c>
      <c r="B9" s="12">
        <f>((('Buyer Standalone'!B15+'Target Standalone'!B15+('Control Panel'!$B$50*B$6*(1-'Control Panel'!$B$25))-'Financing Assumptions'!B10*(1-'Control Panel'!$B$25)-'Purchase Accounting'!$B$18*(1-'Control Panel'!$B$25))/('Control Panel'!$B$12+(('Control Panel'!$B$15*(1+$A9)*'Control Panel'!$B$16*'Control Panel'!$B$20)/'Control Panel'!$B$10)))/'Buyer Standalone'!B16)-1</f>
        <v>0</v>
      </c>
      <c r="C9" s="12">
        <f>((('Buyer Standalone'!B15+'Target Standalone'!B15+('Control Panel'!$B$50*C$6*(1-'Control Panel'!$B$25))-'Financing Assumptions'!B10*(1-'Control Panel'!$B$25)-'Purchase Accounting'!$B$18*(1-'Control Panel'!$B$25))/('Control Panel'!$B$12+(('Control Panel'!$B$15*(1+$A9)*'Control Panel'!$B$16*'Control Panel'!$B$20)/'Control Panel'!$B$10)))/'Buyer Standalone'!B16)-1</f>
        <v>0</v>
      </c>
      <c r="D9" s="12">
        <f>((('Buyer Standalone'!B15+'Target Standalone'!B15+('Control Panel'!$B$50*D$6*(1-'Control Panel'!$B$25))-'Financing Assumptions'!B10*(1-'Control Panel'!$B$25)-'Purchase Accounting'!$B$18*(1-'Control Panel'!$B$25))/('Control Panel'!$B$12+(('Control Panel'!$B$15*(1+$A9)*'Control Panel'!$B$16*'Control Panel'!$B$20)/'Control Panel'!$B$10)))/'Buyer Standalone'!B16)-1</f>
        <v>0</v>
      </c>
      <c r="E9" s="12">
        <f>((('Buyer Standalone'!B15+'Target Standalone'!B15+('Control Panel'!$B$50*E$6*(1-'Control Panel'!$B$25))-'Financing Assumptions'!B10*(1-'Control Panel'!$B$25)-'Purchase Accounting'!$B$18*(1-'Control Panel'!$B$25))/('Control Panel'!$B$12+(('Control Panel'!$B$15*(1+$A9)*'Control Panel'!$B$16*'Control Panel'!$B$20)/'Control Panel'!$B$10)))/'Buyer Standalone'!B16)-1</f>
        <v>0</v>
      </c>
      <c r="F9" s="12">
        <f>((('Buyer Standalone'!B15+'Target Standalone'!B15+('Control Panel'!$B$50*F$6*(1-'Control Panel'!$B$25))-'Financing Assumptions'!B10*(1-'Control Panel'!$B$25)-'Purchase Accounting'!$B$18*(1-'Control Panel'!$B$25))/('Control Panel'!$B$12+(('Control Panel'!$B$15*(1+$A9)*'Control Panel'!$B$16*'Control Panel'!$B$20)/'Control Panel'!$B$10)))/'Buyer Standalone'!B16)-1</f>
        <v>0</v>
      </c>
    </row>
    <row r="10" spans="1:9">
      <c r="A10" s="21">
        <v>0.4</v>
      </c>
      <c r="B10" s="12">
        <f>((('Buyer Standalone'!B15+'Target Standalone'!B15+('Control Panel'!$B$50*B$6*(1-'Control Panel'!$B$25))-'Financing Assumptions'!B10*(1-'Control Panel'!$B$25)-'Purchase Accounting'!$B$18*(1-'Control Panel'!$B$25))/('Control Panel'!$B$12+(('Control Panel'!$B$15*(1+$A10)*'Control Panel'!$B$16*'Control Panel'!$B$20)/'Control Panel'!$B$10)))/'Buyer Standalone'!B16)-1</f>
        <v>0</v>
      </c>
      <c r="C10" s="12">
        <f>((('Buyer Standalone'!B15+'Target Standalone'!B15+('Control Panel'!$B$50*C$6*(1-'Control Panel'!$B$25))-'Financing Assumptions'!B10*(1-'Control Panel'!$B$25)-'Purchase Accounting'!$B$18*(1-'Control Panel'!$B$25))/('Control Panel'!$B$12+(('Control Panel'!$B$15*(1+$A10)*'Control Panel'!$B$16*'Control Panel'!$B$20)/'Control Panel'!$B$10)))/'Buyer Standalone'!B16)-1</f>
        <v>0</v>
      </c>
      <c r="D10" s="12">
        <f>((('Buyer Standalone'!B15+'Target Standalone'!B15+('Control Panel'!$B$50*D$6*(1-'Control Panel'!$B$25))-'Financing Assumptions'!B10*(1-'Control Panel'!$B$25)-'Purchase Accounting'!$B$18*(1-'Control Panel'!$B$25))/('Control Panel'!$B$12+(('Control Panel'!$B$15*(1+$A10)*'Control Panel'!$B$16*'Control Panel'!$B$20)/'Control Panel'!$B$10)))/'Buyer Standalone'!B16)-1</f>
        <v>0</v>
      </c>
      <c r="E10" s="12">
        <f>((('Buyer Standalone'!B15+'Target Standalone'!B15+('Control Panel'!$B$50*E$6*(1-'Control Panel'!$B$25))-'Financing Assumptions'!B10*(1-'Control Panel'!$B$25)-'Purchase Accounting'!$B$18*(1-'Control Panel'!$B$25))/('Control Panel'!$B$12+(('Control Panel'!$B$15*(1+$A10)*'Control Panel'!$B$16*'Control Panel'!$B$20)/'Control Panel'!$B$10)))/'Buyer Standalone'!B16)-1</f>
        <v>0</v>
      </c>
      <c r="F10" s="12">
        <f>((('Buyer Standalone'!B15+'Target Standalone'!B15+('Control Panel'!$B$50*F$6*(1-'Control Panel'!$B$25))-'Financing Assumptions'!B10*(1-'Control Panel'!$B$25)-'Purchase Accounting'!$B$18*(1-'Control Panel'!$B$25))/('Control Panel'!$B$12+(('Control Panel'!$B$15*(1+$A10)*'Control Panel'!$B$16*'Control Panel'!$B$20)/'Control Panel'!$B$10)))/'Buyer Standalone'!B16)-1</f>
        <v>0</v>
      </c>
    </row>
    <row r="11" spans="1:9">
      <c r="A11" s="21">
        <v>0.5</v>
      </c>
      <c r="B11" s="12">
        <f>((('Buyer Standalone'!B15+'Target Standalone'!B15+('Control Panel'!$B$50*B$6*(1-'Control Panel'!$B$25))-'Financing Assumptions'!B10*(1-'Control Panel'!$B$25)-'Purchase Accounting'!$B$18*(1-'Control Panel'!$B$25))/('Control Panel'!$B$12+(('Control Panel'!$B$15*(1+$A11)*'Control Panel'!$B$16*'Control Panel'!$B$20)/'Control Panel'!$B$10)))/'Buyer Standalone'!B16)-1</f>
        <v>0</v>
      </c>
      <c r="C11" s="12">
        <f>((('Buyer Standalone'!B15+'Target Standalone'!B15+('Control Panel'!$B$50*C$6*(1-'Control Panel'!$B$25))-'Financing Assumptions'!B10*(1-'Control Panel'!$B$25)-'Purchase Accounting'!$B$18*(1-'Control Panel'!$B$25))/('Control Panel'!$B$12+(('Control Panel'!$B$15*(1+$A11)*'Control Panel'!$B$16*'Control Panel'!$B$20)/'Control Panel'!$B$10)))/'Buyer Standalone'!B16)-1</f>
        <v>0</v>
      </c>
      <c r="D11" s="12">
        <f>((('Buyer Standalone'!B15+'Target Standalone'!B15+('Control Panel'!$B$50*D$6*(1-'Control Panel'!$B$25))-'Financing Assumptions'!B10*(1-'Control Panel'!$B$25)-'Purchase Accounting'!$B$18*(1-'Control Panel'!$B$25))/('Control Panel'!$B$12+(('Control Panel'!$B$15*(1+$A11)*'Control Panel'!$B$16*'Control Panel'!$B$20)/'Control Panel'!$B$10)))/'Buyer Standalone'!B16)-1</f>
        <v>0</v>
      </c>
      <c r="E11" s="12">
        <f>((('Buyer Standalone'!B15+'Target Standalone'!B15+('Control Panel'!$B$50*E$6*(1-'Control Panel'!$B$25))-'Financing Assumptions'!B10*(1-'Control Panel'!$B$25)-'Purchase Accounting'!$B$18*(1-'Control Panel'!$B$25))/('Control Panel'!$B$12+(('Control Panel'!$B$15*(1+$A11)*'Control Panel'!$B$16*'Control Panel'!$B$20)/'Control Panel'!$B$10)))/'Buyer Standalone'!B16)-1</f>
        <v>0</v>
      </c>
      <c r="F11" s="12">
        <f>((('Buyer Standalone'!B15+'Target Standalone'!B15+('Control Panel'!$B$50*F$6*(1-'Control Panel'!$B$25))-'Financing Assumptions'!B10*(1-'Control Panel'!$B$25)-'Purchase Accounting'!$B$18*(1-'Control Panel'!$B$25))/('Control Panel'!$B$12+(('Control Panel'!$B$15*(1+$A11)*'Control Panel'!$B$16*'Control Panel'!$B$20)/'Control Panel'!$B$10)))/'Buyer Standalone'!B16)-1</f>
        <v>0</v>
      </c>
    </row>
    <row r="15" spans="1:9">
      <c r="A15" s="7" t="s">
        <v>264</v>
      </c>
    </row>
    <row r="16" spans="1:9">
      <c r="A16" s="10" t="s">
        <v>265</v>
      </c>
      <c r="B16" s="10">
        <v>0.045</v>
      </c>
      <c r="C16" s="10">
        <v>0.055</v>
      </c>
      <c r="D16" s="10">
        <v>0.065</v>
      </c>
      <c r="E16" s="10">
        <v>0.075</v>
      </c>
      <c r="F16" s="10">
        <v>0.08500000000000001</v>
      </c>
    </row>
    <row r="17" spans="1:6">
      <c r="A17" s="21">
        <v>0.2</v>
      </c>
      <c r="B17" s="12">
        <f>((('Buyer Standalone'!B15+'Target Standalone'!B15+'Synergies'!B16)-('Control Panel'!$B$22*B$16)*(1-'Control Panel'!$B$25)-'Purchase Accounting'!$B$18*(1-'Control Panel'!$B$25))/('Control Panel'!$B$12+(('Transaction Assumptions'!$B$10*(1-$A17))/'Control Panel'!$B$10))/'Buyer Standalone'!B16)-1</f>
        <v>0</v>
      </c>
      <c r="C17" s="12">
        <f>((('Buyer Standalone'!B15+'Target Standalone'!B15+'Synergies'!B16)-('Control Panel'!$B$22*C$16)*(1-'Control Panel'!$B$25)-'Purchase Accounting'!$B$18*(1-'Control Panel'!$B$25))/('Control Panel'!$B$12+(('Transaction Assumptions'!$B$10*(1-$A17))/'Control Panel'!$B$10))/'Buyer Standalone'!B16)-1</f>
        <v>0</v>
      </c>
      <c r="D17" s="12">
        <f>((('Buyer Standalone'!B15+'Target Standalone'!B15+'Synergies'!B16)-('Control Panel'!$B$22*D$16)*(1-'Control Panel'!$B$25)-'Purchase Accounting'!$B$18*(1-'Control Panel'!$B$25))/('Control Panel'!$B$12+(('Transaction Assumptions'!$B$10*(1-$A17))/'Control Panel'!$B$10))/'Buyer Standalone'!B16)-1</f>
        <v>0</v>
      </c>
      <c r="E17" s="12">
        <f>((('Buyer Standalone'!B15+'Target Standalone'!B15+'Synergies'!B16)-('Control Panel'!$B$22*E$16)*(1-'Control Panel'!$B$25)-'Purchase Accounting'!$B$18*(1-'Control Panel'!$B$25))/('Control Panel'!$B$12+(('Transaction Assumptions'!$B$10*(1-$A17))/'Control Panel'!$B$10))/'Buyer Standalone'!B16)-1</f>
        <v>0</v>
      </c>
      <c r="F17" s="12">
        <f>((('Buyer Standalone'!B15+'Target Standalone'!B15+'Synergies'!B16)-('Control Panel'!$B$22*F$16)*(1-'Control Panel'!$B$25)-'Purchase Accounting'!$B$18*(1-'Control Panel'!$B$25))/('Control Panel'!$B$12+(('Transaction Assumptions'!$B$10*(1-$A17))/'Control Panel'!$B$10))/'Buyer Standalone'!B16)-1</f>
        <v>0</v>
      </c>
    </row>
    <row r="18" spans="1:6">
      <c r="A18" s="21">
        <v>0.4</v>
      </c>
      <c r="B18" s="12">
        <f>((('Buyer Standalone'!B15+'Target Standalone'!B15+'Synergies'!B16)-('Control Panel'!$B$22*B$16)*(1-'Control Panel'!$B$25)-'Purchase Accounting'!$B$18*(1-'Control Panel'!$B$25))/('Control Panel'!$B$12+(('Transaction Assumptions'!$B$10*(1-$A18))/'Control Panel'!$B$10))/'Buyer Standalone'!B16)-1</f>
        <v>0</v>
      </c>
      <c r="C18" s="12">
        <f>((('Buyer Standalone'!B15+'Target Standalone'!B15+'Synergies'!B16)-('Control Panel'!$B$22*C$16)*(1-'Control Panel'!$B$25)-'Purchase Accounting'!$B$18*(1-'Control Panel'!$B$25))/('Control Panel'!$B$12+(('Transaction Assumptions'!$B$10*(1-$A18))/'Control Panel'!$B$10))/'Buyer Standalone'!B16)-1</f>
        <v>0</v>
      </c>
      <c r="D18" s="12">
        <f>((('Buyer Standalone'!B15+'Target Standalone'!B15+'Synergies'!B16)-('Control Panel'!$B$22*D$16)*(1-'Control Panel'!$B$25)-'Purchase Accounting'!$B$18*(1-'Control Panel'!$B$25))/('Control Panel'!$B$12+(('Transaction Assumptions'!$B$10*(1-$A18))/'Control Panel'!$B$10))/'Buyer Standalone'!B16)-1</f>
        <v>0</v>
      </c>
      <c r="E18" s="12">
        <f>((('Buyer Standalone'!B15+'Target Standalone'!B15+'Synergies'!B16)-('Control Panel'!$B$22*E$16)*(1-'Control Panel'!$B$25)-'Purchase Accounting'!$B$18*(1-'Control Panel'!$B$25))/('Control Panel'!$B$12+(('Transaction Assumptions'!$B$10*(1-$A18))/'Control Panel'!$B$10))/'Buyer Standalone'!B16)-1</f>
        <v>0</v>
      </c>
      <c r="F18" s="12">
        <f>((('Buyer Standalone'!B15+'Target Standalone'!B15+'Synergies'!B16)-('Control Panel'!$B$22*F$16)*(1-'Control Panel'!$B$25)-'Purchase Accounting'!$B$18*(1-'Control Panel'!$B$25))/('Control Panel'!$B$12+(('Transaction Assumptions'!$B$10*(1-$A18))/'Control Panel'!$B$10))/'Buyer Standalone'!B16)-1</f>
        <v>0</v>
      </c>
    </row>
    <row r="19" spans="1:6">
      <c r="A19" s="21">
        <v>0.55</v>
      </c>
      <c r="B19" s="12">
        <f>((('Buyer Standalone'!B15+'Target Standalone'!B15+'Synergies'!B16)-('Control Panel'!$B$22*B$16)*(1-'Control Panel'!$B$25)-'Purchase Accounting'!$B$18*(1-'Control Panel'!$B$25))/('Control Panel'!$B$12+(('Transaction Assumptions'!$B$10*(1-$A19))/'Control Panel'!$B$10))/'Buyer Standalone'!B16)-1</f>
        <v>0</v>
      </c>
      <c r="C19" s="12">
        <f>((('Buyer Standalone'!B15+'Target Standalone'!B15+'Synergies'!B16)-('Control Panel'!$B$22*C$16)*(1-'Control Panel'!$B$25)-'Purchase Accounting'!$B$18*(1-'Control Panel'!$B$25))/('Control Panel'!$B$12+(('Transaction Assumptions'!$B$10*(1-$A19))/'Control Panel'!$B$10))/'Buyer Standalone'!B16)-1</f>
        <v>0</v>
      </c>
      <c r="D19" s="12">
        <f>((('Buyer Standalone'!B15+'Target Standalone'!B15+'Synergies'!B16)-('Control Panel'!$B$22*D$16)*(1-'Control Panel'!$B$25)-'Purchase Accounting'!$B$18*(1-'Control Panel'!$B$25))/('Control Panel'!$B$12+(('Transaction Assumptions'!$B$10*(1-$A19))/'Control Panel'!$B$10))/'Buyer Standalone'!B16)-1</f>
        <v>0</v>
      </c>
      <c r="E19" s="12">
        <f>((('Buyer Standalone'!B15+'Target Standalone'!B15+'Synergies'!B16)-('Control Panel'!$B$22*E$16)*(1-'Control Panel'!$B$25)-'Purchase Accounting'!$B$18*(1-'Control Panel'!$B$25))/('Control Panel'!$B$12+(('Transaction Assumptions'!$B$10*(1-$A19))/'Control Panel'!$B$10))/'Buyer Standalone'!B16)-1</f>
        <v>0</v>
      </c>
      <c r="F19" s="12">
        <f>((('Buyer Standalone'!B15+'Target Standalone'!B15+'Synergies'!B16)-('Control Panel'!$B$22*F$16)*(1-'Control Panel'!$B$25)-'Purchase Accounting'!$B$18*(1-'Control Panel'!$B$25))/('Control Panel'!$B$12+(('Transaction Assumptions'!$B$10*(1-$A19))/'Control Panel'!$B$10))/'Buyer Standalone'!B16)-1</f>
        <v>0</v>
      </c>
    </row>
    <row r="20" spans="1:6">
      <c r="A20" s="21">
        <v>0.7</v>
      </c>
      <c r="B20" s="12">
        <f>((('Buyer Standalone'!B15+'Target Standalone'!B15+'Synergies'!B16)-('Control Panel'!$B$22*B$16)*(1-'Control Panel'!$B$25)-'Purchase Accounting'!$B$18*(1-'Control Panel'!$B$25))/('Control Panel'!$B$12+(('Transaction Assumptions'!$B$10*(1-$A20))/'Control Panel'!$B$10))/'Buyer Standalone'!B16)-1</f>
        <v>0</v>
      </c>
      <c r="C20" s="12">
        <f>((('Buyer Standalone'!B15+'Target Standalone'!B15+'Synergies'!B16)-('Control Panel'!$B$22*C$16)*(1-'Control Panel'!$B$25)-'Purchase Accounting'!$B$18*(1-'Control Panel'!$B$25))/('Control Panel'!$B$12+(('Transaction Assumptions'!$B$10*(1-$A20))/'Control Panel'!$B$10))/'Buyer Standalone'!B16)-1</f>
        <v>0</v>
      </c>
      <c r="D20" s="12">
        <f>((('Buyer Standalone'!B15+'Target Standalone'!B15+'Synergies'!B16)-('Control Panel'!$B$22*D$16)*(1-'Control Panel'!$B$25)-'Purchase Accounting'!$B$18*(1-'Control Panel'!$B$25))/('Control Panel'!$B$12+(('Transaction Assumptions'!$B$10*(1-$A20))/'Control Panel'!$B$10))/'Buyer Standalone'!B16)-1</f>
        <v>0</v>
      </c>
      <c r="E20" s="12">
        <f>((('Buyer Standalone'!B15+'Target Standalone'!B15+'Synergies'!B16)-('Control Panel'!$B$22*E$16)*(1-'Control Panel'!$B$25)-'Purchase Accounting'!$B$18*(1-'Control Panel'!$B$25))/('Control Panel'!$B$12+(('Transaction Assumptions'!$B$10*(1-$A20))/'Control Panel'!$B$10))/'Buyer Standalone'!B16)-1</f>
        <v>0</v>
      </c>
      <c r="F20" s="12">
        <f>((('Buyer Standalone'!B15+'Target Standalone'!B15+'Synergies'!B16)-('Control Panel'!$B$22*F$16)*(1-'Control Panel'!$B$25)-'Purchase Accounting'!$B$18*(1-'Control Panel'!$B$25))/('Control Panel'!$B$12+(('Transaction Assumptions'!$B$10*(1-$A20))/'Control Panel'!$B$10))/'Buyer Standalone'!B16)-1</f>
        <v>0</v>
      </c>
    </row>
    <row r="21" spans="1:6">
      <c r="A21" s="21">
        <v>0.9</v>
      </c>
      <c r="B21" s="12">
        <f>((('Buyer Standalone'!B15+'Target Standalone'!B15+'Synergies'!B16)-('Control Panel'!$B$22*B$16)*(1-'Control Panel'!$B$25)-'Purchase Accounting'!$B$18*(1-'Control Panel'!$B$25))/('Control Panel'!$B$12+(('Transaction Assumptions'!$B$10*(1-$A21))/'Control Panel'!$B$10))/'Buyer Standalone'!B16)-1</f>
        <v>0</v>
      </c>
      <c r="C21" s="12">
        <f>((('Buyer Standalone'!B15+'Target Standalone'!B15+'Synergies'!B16)-('Control Panel'!$B$22*C$16)*(1-'Control Panel'!$B$25)-'Purchase Accounting'!$B$18*(1-'Control Panel'!$B$25))/('Control Panel'!$B$12+(('Transaction Assumptions'!$B$10*(1-$A21))/'Control Panel'!$B$10))/'Buyer Standalone'!B16)-1</f>
        <v>0</v>
      </c>
      <c r="D21" s="12">
        <f>((('Buyer Standalone'!B15+'Target Standalone'!B15+'Synergies'!B16)-('Control Panel'!$B$22*D$16)*(1-'Control Panel'!$B$25)-'Purchase Accounting'!$B$18*(1-'Control Panel'!$B$25))/('Control Panel'!$B$12+(('Transaction Assumptions'!$B$10*(1-$A21))/'Control Panel'!$B$10))/'Buyer Standalone'!B16)-1</f>
        <v>0</v>
      </c>
      <c r="E21" s="12">
        <f>((('Buyer Standalone'!B15+'Target Standalone'!B15+'Synergies'!B16)-('Control Panel'!$B$22*E$16)*(1-'Control Panel'!$B$25)-'Purchase Accounting'!$B$18*(1-'Control Panel'!$B$25))/('Control Panel'!$B$12+(('Transaction Assumptions'!$B$10*(1-$A21))/'Control Panel'!$B$10))/'Buyer Standalone'!B16)-1</f>
        <v>0</v>
      </c>
      <c r="F21" s="12">
        <f>((('Buyer Standalone'!B15+'Target Standalone'!B15+'Synergies'!B16)-('Control Panel'!$B$22*F$16)*(1-'Control Panel'!$B$25)-'Purchase Accounting'!$B$18*(1-'Control Panel'!$B$25))/('Control Panel'!$B$12+(('Transaction Assumptions'!$B$10*(1-$A21))/'Control Panel'!$B$10))/'Buyer Standalone'!B16)-1</f>
        <v>0</v>
      </c>
    </row>
    <row r="24" spans="1:6">
      <c r="A24" s="7" t="s">
        <v>266</v>
      </c>
    </row>
    <row r="25" spans="1:6">
      <c r="A25" s="10" t="s">
        <v>267</v>
      </c>
      <c r="B25" s="10">
        <v>0.5</v>
      </c>
      <c r="C25" s="10">
        <v>0.75</v>
      </c>
      <c r="D25" s="10">
        <v>1</v>
      </c>
      <c r="E25" s="10">
        <v>1.25</v>
      </c>
      <c r="F25" s="10">
        <v>1.5</v>
      </c>
    </row>
    <row r="26" spans="1:6">
      <c r="A26" s="20">
        <v>8</v>
      </c>
      <c r="B26" s="12">
        <f>((('Buyer Standalone'!B15+'Target Standalone'!B15+('Control Panel'!$B$50*B$25*(1-'Control Panel'!$B$25))-'Financing Assumptions'!B10*(1-'Control Panel'!$B$25)-'Purchase Accounting'!$B$18*(1-'Control Panel'!$B$25))/('Control Panel'!$B$12+((($A26*'Target Standalone'!B8-'Control Panel'!$B$17)*'Control Panel'!$B$20)/'Control Panel'!$B$10))/'Buyer Standalone'!B16)-1</f>
        <v>0</v>
      </c>
      <c r="C26" s="12">
        <f>((('Buyer Standalone'!B15+'Target Standalone'!B15+('Control Panel'!$B$50*C$25*(1-'Control Panel'!$B$25))-'Financing Assumptions'!B10*(1-'Control Panel'!$B$25)-'Purchase Accounting'!$B$18*(1-'Control Panel'!$B$25))/('Control Panel'!$B$12+((($A26*'Target Standalone'!B8-'Control Panel'!$B$17)*'Control Panel'!$B$20)/'Control Panel'!$B$10))/'Buyer Standalone'!B16)-1</f>
        <v>0</v>
      </c>
      <c r="D26" s="12">
        <f>((('Buyer Standalone'!B15+'Target Standalone'!B15+('Control Panel'!$B$50*D$25*(1-'Control Panel'!$B$25))-'Financing Assumptions'!B10*(1-'Control Panel'!$B$25)-'Purchase Accounting'!$B$18*(1-'Control Panel'!$B$25))/('Control Panel'!$B$12+((($A26*'Target Standalone'!B8-'Control Panel'!$B$17)*'Control Panel'!$B$20)/'Control Panel'!$B$10))/'Buyer Standalone'!B16)-1</f>
        <v>0</v>
      </c>
      <c r="E26" s="12">
        <f>((('Buyer Standalone'!B15+'Target Standalone'!B15+('Control Panel'!$B$50*E$25*(1-'Control Panel'!$B$25))-'Financing Assumptions'!B10*(1-'Control Panel'!$B$25)-'Purchase Accounting'!$B$18*(1-'Control Panel'!$B$25))/('Control Panel'!$B$12+((($A26*'Target Standalone'!B8-'Control Panel'!$B$17)*'Control Panel'!$B$20)/'Control Panel'!$B$10))/'Buyer Standalone'!B16)-1</f>
        <v>0</v>
      </c>
      <c r="F26" s="12">
        <f>((('Buyer Standalone'!B15+'Target Standalone'!B15+('Control Panel'!$B$50*F$25*(1-'Control Panel'!$B$25))-'Financing Assumptions'!B10*(1-'Control Panel'!$B$25)-'Purchase Accounting'!$B$18*(1-'Control Panel'!$B$25))/('Control Panel'!$B$12+((($A26*'Target Standalone'!B8-'Control Panel'!$B$17)*'Control Panel'!$B$20)/'Control Panel'!$B$10))/'Buyer Standalone'!B16)-1</f>
        <v>0</v>
      </c>
    </row>
    <row r="27" spans="1:6">
      <c r="A27" s="20">
        <v>9</v>
      </c>
      <c r="B27" s="12">
        <f>((('Buyer Standalone'!B15+'Target Standalone'!B15+('Control Panel'!$B$50*B$25*(1-'Control Panel'!$B$25))-'Financing Assumptions'!B10*(1-'Control Panel'!$B$25)-'Purchase Accounting'!$B$18*(1-'Control Panel'!$B$25))/('Control Panel'!$B$12+((($A27*'Target Standalone'!B8-'Control Panel'!$B$17)*'Control Panel'!$B$20)/'Control Panel'!$B$10))/'Buyer Standalone'!B16)-1</f>
        <v>0</v>
      </c>
      <c r="C27" s="12">
        <f>((('Buyer Standalone'!B15+'Target Standalone'!B15+('Control Panel'!$B$50*C$25*(1-'Control Panel'!$B$25))-'Financing Assumptions'!B10*(1-'Control Panel'!$B$25)-'Purchase Accounting'!$B$18*(1-'Control Panel'!$B$25))/('Control Panel'!$B$12+((($A27*'Target Standalone'!B8-'Control Panel'!$B$17)*'Control Panel'!$B$20)/'Control Panel'!$B$10))/'Buyer Standalone'!B16)-1</f>
        <v>0</v>
      </c>
      <c r="D27" s="12">
        <f>((('Buyer Standalone'!B15+'Target Standalone'!B15+('Control Panel'!$B$50*D$25*(1-'Control Panel'!$B$25))-'Financing Assumptions'!B10*(1-'Control Panel'!$B$25)-'Purchase Accounting'!$B$18*(1-'Control Panel'!$B$25))/('Control Panel'!$B$12+((($A27*'Target Standalone'!B8-'Control Panel'!$B$17)*'Control Panel'!$B$20)/'Control Panel'!$B$10))/'Buyer Standalone'!B16)-1</f>
        <v>0</v>
      </c>
      <c r="E27" s="12">
        <f>((('Buyer Standalone'!B15+'Target Standalone'!B15+('Control Panel'!$B$50*E$25*(1-'Control Panel'!$B$25))-'Financing Assumptions'!B10*(1-'Control Panel'!$B$25)-'Purchase Accounting'!$B$18*(1-'Control Panel'!$B$25))/('Control Panel'!$B$12+((($A27*'Target Standalone'!B8-'Control Panel'!$B$17)*'Control Panel'!$B$20)/'Control Panel'!$B$10))/'Buyer Standalone'!B16)-1</f>
        <v>0</v>
      </c>
      <c r="F27" s="12">
        <f>((('Buyer Standalone'!B15+'Target Standalone'!B15+('Control Panel'!$B$50*F$25*(1-'Control Panel'!$B$25))-'Financing Assumptions'!B10*(1-'Control Panel'!$B$25)-'Purchase Accounting'!$B$18*(1-'Control Panel'!$B$25))/('Control Panel'!$B$12+((($A27*'Target Standalone'!B8-'Control Panel'!$B$17)*'Control Panel'!$B$20)/'Control Panel'!$B$10))/'Buyer Standalone'!B16)-1</f>
        <v>0</v>
      </c>
    </row>
    <row r="28" spans="1:6">
      <c r="A28" s="20">
        <v>10</v>
      </c>
      <c r="B28" s="12">
        <f>((('Buyer Standalone'!B15+'Target Standalone'!B15+('Control Panel'!$B$50*B$25*(1-'Control Panel'!$B$25))-'Financing Assumptions'!B10*(1-'Control Panel'!$B$25)-'Purchase Accounting'!$B$18*(1-'Control Panel'!$B$25))/('Control Panel'!$B$12+((($A28*'Target Standalone'!B8-'Control Panel'!$B$17)*'Control Panel'!$B$20)/'Control Panel'!$B$10))/'Buyer Standalone'!B16)-1</f>
        <v>0</v>
      </c>
      <c r="C28" s="12">
        <f>((('Buyer Standalone'!B15+'Target Standalone'!B15+('Control Panel'!$B$50*C$25*(1-'Control Panel'!$B$25))-'Financing Assumptions'!B10*(1-'Control Panel'!$B$25)-'Purchase Accounting'!$B$18*(1-'Control Panel'!$B$25))/('Control Panel'!$B$12+((($A28*'Target Standalone'!B8-'Control Panel'!$B$17)*'Control Panel'!$B$20)/'Control Panel'!$B$10))/'Buyer Standalone'!B16)-1</f>
        <v>0</v>
      </c>
      <c r="D28" s="12">
        <f>((('Buyer Standalone'!B15+'Target Standalone'!B15+('Control Panel'!$B$50*D$25*(1-'Control Panel'!$B$25))-'Financing Assumptions'!B10*(1-'Control Panel'!$B$25)-'Purchase Accounting'!$B$18*(1-'Control Panel'!$B$25))/('Control Panel'!$B$12+((($A28*'Target Standalone'!B8-'Control Panel'!$B$17)*'Control Panel'!$B$20)/'Control Panel'!$B$10))/'Buyer Standalone'!B16)-1</f>
        <v>0</v>
      </c>
      <c r="E28" s="12">
        <f>((('Buyer Standalone'!B15+'Target Standalone'!B15+('Control Panel'!$B$50*E$25*(1-'Control Panel'!$B$25))-'Financing Assumptions'!B10*(1-'Control Panel'!$B$25)-'Purchase Accounting'!$B$18*(1-'Control Panel'!$B$25))/('Control Panel'!$B$12+((($A28*'Target Standalone'!B8-'Control Panel'!$B$17)*'Control Panel'!$B$20)/'Control Panel'!$B$10))/'Buyer Standalone'!B16)-1</f>
        <v>0</v>
      </c>
      <c r="F28" s="12">
        <f>((('Buyer Standalone'!B15+'Target Standalone'!B15+('Control Panel'!$B$50*F$25*(1-'Control Panel'!$B$25))-'Financing Assumptions'!B10*(1-'Control Panel'!$B$25)-'Purchase Accounting'!$B$18*(1-'Control Panel'!$B$25))/('Control Panel'!$B$12+((($A28*'Target Standalone'!B8-'Control Panel'!$B$17)*'Control Panel'!$B$20)/'Control Panel'!$B$10))/'Buyer Standalone'!B16)-1</f>
        <v>0</v>
      </c>
    </row>
    <row r="29" spans="1:6">
      <c r="A29" s="20">
        <v>11</v>
      </c>
      <c r="B29" s="12">
        <f>((('Buyer Standalone'!B15+'Target Standalone'!B15+('Control Panel'!$B$50*B$25*(1-'Control Panel'!$B$25))-'Financing Assumptions'!B10*(1-'Control Panel'!$B$25)-'Purchase Accounting'!$B$18*(1-'Control Panel'!$B$25))/('Control Panel'!$B$12+((($A29*'Target Standalone'!B8-'Control Panel'!$B$17)*'Control Panel'!$B$20)/'Control Panel'!$B$10))/'Buyer Standalone'!B16)-1</f>
        <v>0</v>
      </c>
      <c r="C29" s="12">
        <f>((('Buyer Standalone'!B15+'Target Standalone'!B15+('Control Panel'!$B$50*C$25*(1-'Control Panel'!$B$25))-'Financing Assumptions'!B10*(1-'Control Panel'!$B$25)-'Purchase Accounting'!$B$18*(1-'Control Panel'!$B$25))/('Control Panel'!$B$12+((($A29*'Target Standalone'!B8-'Control Panel'!$B$17)*'Control Panel'!$B$20)/'Control Panel'!$B$10))/'Buyer Standalone'!B16)-1</f>
        <v>0</v>
      </c>
      <c r="D29" s="12">
        <f>((('Buyer Standalone'!B15+'Target Standalone'!B15+('Control Panel'!$B$50*D$25*(1-'Control Panel'!$B$25))-'Financing Assumptions'!B10*(1-'Control Panel'!$B$25)-'Purchase Accounting'!$B$18*(1-'Control Panel'!$B$25))/('Control Panel'!$B$12+((($A29*'Target Standalone'!B8-'Control Panel'!$B$17)*'Control Panel'!$B$20)/'Control Panel'!$B$10))/'Buyer Standalone'!B16)-1</f>
        <v>0</v>
      </c>
      <c r="E29" s="12">
        <f>((('Buyer Standalone'!B15+'Target Standalone'!B15+('Control Panel'!$B$50*E$25*(1-'Control Panel'!$B$25))-'Financing Assumptions'!B10*(1-'Control Panel'!$B$25)-'Purchase Accounting'!$B$18*(1-'Control Panel'!$B$25))/('Control Panel'!$B$12+((($A29*'Target Standalone'!B8-'Control Panel'!$B$17)*'Control Panel'!$B$20)/'Control Panel'!$B$10))/'Buyer Standalone'!B16)-1</f>
        <v>0</v>
      </c>
      <c r="F29" s="12">
        <f>((('Buyer Standalone'!B15+'Target Standalone'!B15+('Control Panel'!$B$50*F$25*(1-'Control Panel'!$B$25))-'Financing Assumptions'!B10*(1-'Control Panel'!$B$25)-'Purchase Accounting'!$B$18*(1-'Control Panel'!$B$25))/('Control Panel'!$B$12+((($A29*'Target Standalone'!B8-'Control Panel'!$B$17)*'Control Panel'!$B$20)/'Control Panel'!$B$10))/'Buyer Standalone'!B16)-1</f>
        <v>0</v>
      </c>
    </row>
    <row r="30" spans="1:6">
      <c r="A30" s="20">
        <v>12</v>
      </c>
      <c r="B30" s="12">
        <f>((('Buyer Standalone'!B15+'Target Standalone'!B15+('Control Panel'!$B$50*B$25*(1-'Control Panel'!$B$25))-'Financing Assumptions'!B10*(1-'Control Panel'!$B$25)-'Purchase Accounting'!$B$18*(1-'Control Panel'!$B$25))/('Control Panel'!$B$12+((($A30*'Target Standalone'!B8-'Control Panel'!$B$17)*'Control Panel'!$B$20)/'Control Panel'!$B$10))/'Buyer Standalone'!B16)-1</f>
        <v>0</v>
      </c>
      <c r="C30" s="12">
        <f>((('Buyer Standalone'!B15+'Target Standalone'!B15+('Control Panel'!$B$50*C$25*(1-'Control Panel'!$B$25))-'Financing Assumptions'!B10*(1-'Control Panel'!$B$25)-'Purchase Accounting'!$B$18*(1-'Control Panel'!$B$25))/('Control Panel'!$B$12+((($A30*'Target Standalone'!B8-'Control Panel'!$B$17)*'Control Panel'!$B$20)/'Control Panel'!$B$10))/'Buyer Standalone'!B16)-1</f>
        <v>0</v>
      </c>
      <c r="D30" s="12">
        <f>((('Buyer Standalone'!B15+'Target Standalone'!B15+('Control Panel'!$B$50*D$25*(1-'Control Panel'!$B$25))-'Financing Assumptions'!B10*(1-'Control Panel'!$B$25)-'Purchase Accounting'!$B$18*(1-'Control Panel'!$B$25))/('Control Panel'!$B$12+((($A30*'Target Standalone'!B8-'Control Panel'!$B$17)*'Control Panel'!$B$20)/'Control Panel'!$B$10))/'Buyer Standalone'!B16)-1</f>
        <v>0</v>
      </c>
      <c r="E30" s="12">
        <f>((('Buyer Standalone'!B15+'Target Standalone'!B15+('Control Panel'!$B$50*E$25*(1-'Control Panel'!$B$25))-'Financing Assumptions'!B10*(1-'Control Panel'!$B$25)-'Purchase Accounting'!$B$18*(1-'Control Panel'!$B$25))/('Control Panel'!$B$12+((($A30*'Target Standalone'!B8-'Control Panel'!$B$17)*'Control Panel'!$B$20)/'Control Panel'!$B$10))/'Buyer Standalone'!B16)-1</f>
        <v>0</v>
      </c>
      <c r="F30" s="12">
        <f>((('Buyer Standalone'!B15+'Target Standalone'!B15+('Control Panel'!$B$50*F$25*(1-'Control Panel'!$B$25))-'Financing Assumptions'!B10*(1-'Control Panel'!$B$25)-'Purchase Accounting'!$B$18*(1-'Control Panel'!$B$25))/('Control Panel'!$B$12+((($A30*'Target Standalone'!B8-'Control Panel'!$B$17)*'Control Panel'!$B$20)/'Control Panel'!$B$10))/'Buyer Standalone'!B16)-1</f>
        <v>0</v>
      </c>
    </row>
    <row r="33" spans="1:6">
      <c r="A33" s="7" t="s">
        <v>268</v>
      </c>
    </row>
    <row r="34" spans="1:6">
      <c r="A34" s="10" t="s">
        <v>269</v>
      </c>
      <c r="B34" s="10">
        <v>55</v>
      </c>
      <c r="C34" s="10">
        <v>65</v>
      </c>
      <c r="D34" s="10">
        <v>72.5</v>
      </c>
      <c r="E34" s="10">
        <v>80</v>
      </c>
      <c r="F34" s="10">
        <v>90</v>
      </c>
    </row>
    <row r="35" spans="1:6">
      <c r="A35" s="21">
        <v>0.2</v>
      </c>
      <c r="B35" s="12">
        <f>(('Transaction Assumptions'!$B$10*$A35)/B$34)/('Control Panel'!$B$12+(('Transaction Assumptions'!$B$10*$A35)/B$34))</f>
        <v>0</v>
      </c>
      <c r="C35" s="12">
        <f>(('Transaction Assumptions'!$B$10*$A35)/C$34)/('Control Panel'!$B$12+(('Transaction Assumptions'!$B$10*$A35)/C$34))</f>
        <v>0</v>
      </c>
      <c r="D35" s="12">
        <f>(('Transaction Assumptions'!$B$10*$A35)/D$34)/('Control Panel'!$B$12+(('Transaction Assumptions'!$B$10*$A35)/D$34))</f>
        <v>0</v>
      </c>
      <c r="E35" s="12">
        <f>(('Transaction Assumptions'!$B$10*$A35)/E$34)/('Control Panel'!$B$12+(('Transaction Assumptions'!$B$10*$A35)/E$34))</f>
        <v>0</v>
      </c>
      <c r="F35" s="12">
        <f>(('Transaction Assumptions'!$B$10*$A35)/F$34)/('Control Panel'!$B$12+(('Transaction Assumptions'!$B$10*$A35)/F$34))</f>
        <v>0</v>
      </c>
    </row>
    <row r="36" spans="1:6">
      <c r="A36" s="21">
        <v>0.35</v>
      </c>
      <c r="B36" s="12">
        <f>(('Transaction Assumptions'!$B$10*$A36)/B$34)/('Control Panel'!$B$12+(('Transaction Assumptions'!$B$10*$A36)/B$34))</f>
        <v>0</v>
      </c>
      <c r="C36" s="12">
        <f>(('Transaction Assumptions'!$B$10*$A36)/C$34)/('Control Panel'!$B$12+(('Transaction Assumptions'!$B$10*$A36)/C$34))</f>
        <v>0</v>
      </c>
      <c r="D36" s="12">
        <f>(('Transaction Assumptions'!$B$10*$A36)/D$34)/('Control Panel'!$B$12+(('Transaction Assumptions'!$B$10*$A36)/D$34))</f>
        <v>0</v>
      </c>
      <c r="E36" s="12">
        <f>(('Transaction Assumptions'!$B$10*$A36)/E$34)/('Control Panel'!$B$12+(('Transaction Assumptions'!$B$10*$A36)/E$34))</f>
        <v>0</v>
      </c>
      <c r="F36" s="12">
        <f>(('Transaction Assumptions'!$B$10*$A36)/F$34)/('Control Panel'!$B$12+(('Transaction Assumptions'!$B$10*$A36)/F$34))</f>
        <v>0</v>
      </c>
    </row>
    <row r="37" spans="1:6">
      <c r="A37" s="21">
        <v>0.45</v>
      </c>
      <c r="B37" s="12">
        <f>(('Transaction Assumptions'!$B$10*$A37)/B$34)/('Control Panel'!$B$12+(('Transaction Assumptions'!$B$10*$A37)/B$34))</f>
        <v>0</v>
      </c>
      <c r="C37" s="12">
        <f>(('Transaction Assumptions'!$B$10*$A37)/C$34)/('Control Panel'!$B$12+(('Transaction Assumptions'!$B$10*$A37)/C$34))</f>
        <v>0</v>
      </c>
      <c r="D37" s="12">
        <f>(('Transaction Assumptions'!$B$10*$A37)/D$34)/('Control Panel'!$B$12+(('Transaction Assumptions'!$B$10*$A37)/D$34))</f>
        <v>0</v>
      </c>
      <c r="E37" s="12">
        <f>(('Transaction Assumptions'!$B$10*$A37)/E$34)/('Control Panel'!$B$12+(('Transaction Assumptions'!$B$10*$A37)/E$34))</f>
        <v>0</v>
      </c>
      <c r="F37" s="12">
        <f>(('Transaction Assumptions'!$B$10*$A37)/F$34)/('Control Panel'!$B$12+(('Transaction Assumptions'!$B$10*$A37)/F$34))</f>
        <v>0</v>
      </c>
    </row>
    <row r="38" spans="1:6">
      <c r="A38" s="21">
        <v>0.6</v>
      </c>
      <c r="B38" s="12">
        <f>(('Transaction Assumptions'!$B$10*$A38)/B$34)/('Control Panel'!$B$12+(('Transaction Assumptions'!$B$10*$A38)/B$34))</f>
        <v>0</v>
      </c>
      <c r="C38" s="12">
        <f>(('Transaction Assumptions'!$B$10*$A38)/C$34)/('Control Panel'!$B$12+(('Transaction Assumptions'!$B$10*$A38)/C$34))</f>
        <v>0</v>
      </c>
      <c r="D38" s="12">
        <f>(('Transaction Assumptions'!$B$10*$A38)/D$34)/('Control Panel'!$B$12+(('Transaction Assumptions'!$B$10*$A38)/D$34))</f>
        <v>0</v>
      </c>
      <c r="E38" s="12">
        <f>(('Transaction Assumptions'!$B$10*$A38)/E$34)/('Control Panel'!$B$12+(('Transaction Assumptions'!$B$10*$A38)/E$34))</f>
        <v>0</v>
      </c>
      <c r="F38" s="12">
        <f>(('Transaction Assumptions'!$B$10*$A38)/F$34)/('Control Panel'!$B$12+(('Transaction Assumptions'!$B$10*$A38)/F$34))</f>
        <v>0</v>
      </c>
    </row>
    <row r="39" spans="1:6">
      <c r="A39" s="21">
        <v>0.75</v>
      </c>
      <c r="B39" s="12">
        <f>(('Transaction Assumptions'!$B$10*$A39)/B$34)/('Control Panel'!$B$12+(('Transaction Assumptions'!$B$10*$A39)/B$34))</f>
        <v>0</v>
      </c>
      <c r="C39" s="12">
        <f>(('Transaction Assumptions'!$B$10*$A39)/C$34)/('Control Panel'!$B$12+(('Transaction Assumptions'!$B$10*$A39)/C$34))</f>
        <v>0</v>
      </c>
      <c r="D39" s="12">
        <f>(('Transaction Assumptions'!$B$10*$A39)/D$34)/('Control Panel'!$B$12+(('Transaction Assumptions'!$B$10*$A39)/D$34))</f>
        <v>0</v>
      </c>
      <c r="E39" s="12">
        <f>(('Transaction Assumptions'!$B$10*$A39)/E$34)/('Control Panel'!$B$12+(('Transaction Assumptions'!$B$10*$A39)/E$34))</f>
        <v>0</v>
      </c>
      <c r="F39" s="12">
        <f>(('Transaction Assumptions'!$B$10*$A39)/F$34)/('Control Panel'!$B$12+(('Transaction Assumptions'!$B$10*$A39)/F$34))</f>
        <v>0</v>
      </c>
    </row>
    <row r="42" spans="1:6">
      <c r="A42" s="7" t="s">
        <v>270</v>
      </c>
    </row>
    <row r="43" spans="1:6">
      <c r="A43" s="10" t="s">
        <v>271</v>
      </c>
      <c r="B43" s="10" t="s">
        <v>272</v>
      </c>
    </row>
    <row r="44" spans="1:6">
      <c r="A44" s="21">
        <v>0.1</v>
      </c>
      <c r="B44" s="11">
        <f>MAX(0,('Buyer Standalone'!B16*('Control Panel'!$B$12+(('Control Panel'!$B$15*(1+A44)*'Control Panel'!$B$16*'Control Panel'!$B$20)/'Control Panel'!$B$10))-'Buyer Standalone'!B15-'Target Standalone'!B15+'Financing Assumptions'!B10*(1-'Control Panel'!$B$25)+'Purchase Accounting'!$B$18*(1-'Control Panel'!$B$25))/(1-'Control Panel'!$B$25))</f>
        <v>0</v>
      </c>
    </row>
    <row r="45" spans="1:6">
      <c r="A45" s="21">
        <v>0.2</v>
      </c>
      <c r="B45" s="11">
        <f>MAX(0,('Buyer Standalone'!B16*('Control Panel'!$B$12+(('Control Panel'!$B$15*(1+A45)*'Control Panel'!$B$16*'Control Panel'!$B$20)/'Control Panel'!$B$10))-'Buyer Standalone'!B15-'Target Standalone'!B15+'Financing Assumptions'!B10*(1-'Control Panel'!$B$25)+'Purchase Accounting'!$B$18*(1-'Control Panel'!$B$25))/(1-'Control Panel'!$B$25))</f>
        <v>0</v>
      </c>
    </row>
    <row r="46" spans="1:6">
      <c r="A46" s="21">
        <v>0.3</v>
      </c>
      <c r="B46" s="11">
        <f>MAX(0,('Buyer Standalone'!B16*('Control Panel'!$B$12+(('Control Panel'!$B$15*(1+A46)*'Control Panel'!$B$16*'Control Panel'!$B$20)/'Control Panel'!$B$10))-'Buyer Standalone'!B15-'Target Standalone'!B15+'Financing Assumptions'!B10*(1-'Control Panel'!$B$25)+'Purchase Accounting'!$B$18*(1-'Control Panel'!$B$25))/(1-'Control Panel'!$B$25))</f>
        <v>0</v>
      </c>
    </row>
    <row r="47" spans="1:6">
      <c r="A47" s="21">
        <v>0.4</v>
      </c>
      <c r="B47" s="11">
        <f>MAX(0,('Buyer Standalone'!B16*('Control Panel'!$B$12+(('Control Panel'!$B$15*(1+A47)*'Control Panel'!$B$16*'Control Panel'!$B$20)/'Control Panel'!$B$10))-'Buyer Standalone'!B15-'Target Standalone'!B15+'Financing Assumptions'!B10*(1-'Control Panel'!$B$25)+'Purchase Accounting'!$B$18*(1-'Control Panel'!$B$25))/(1-'Control Panel'!$B$25))</f>
        <v>0</v>
      </c>
    </row>
    <row r="48" spans="1:6">
      <c r="A48" s="21">
        <v>0.5</v>
      </c>
      <c r="B48" s="11">
        <f>MAX(0,('Buyer Standalone'!B16*('Control Panel'!$B$12+(('Control Panel'!$B$15*(1+A48)*'Control Panel'!$B$16*'Control Panel'!$B$20)/'Control Panel'!$B$10))-'Buyer Standalone'!B15-'Target Standalone'!B15+'Financing Assumptions'!B10*(1-'Control Panel'!$B$25)+'Purchase Accounting'!$B$18*(1-'Control Panel'!$B$25))/(1-'Control Panel'!$B$25))</f>
        <v>0</v>
      </c>
    </row>
  </sheetData>
  <mergeCells count="1">
    <mergeCell ref="A1:I1"/>
  </mergeCells>
  <conditionalFormatting sqref="A1:M81">
    <cfRule type="containsText" dxfId="1" priority="1" operator="containsText" text="FAIL">
      <formula>NOT(ISERROR(SEARCH("FAIL",A1)))</formula>
    </cfRule>
    <cfRule type="containsText" dxfId="0" priority="2" operator="containsText" text="placeholder">
      <formula>NOT(ISERROR(SEARCH("placeholder",A1)))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17365D"/>
  </sheetPr>
  <dimension ref="A1:I17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42.7109375" customWidth="1"/>
    <col min="2" max="2" width="16.7109375" customWidth="1"/>
    <col min="3" max="3" width="60.7109375" customWidth="1"/>
    <col min="4" max="11" width="15.7109375" customWidth="1"/>
  </cols>
  <sheetData>
    <row r="1" spans="1:9" ht="24" customHeight="1">
      <c r="A1" s="1" t="s">
        <v>30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3" t="s">
        <v>2</v>
      </c>
      <c r="D2" s="2" t="s">
        <v>3</v>
      </c>
      <c r="E2" s="3" t="s">
        <v>4</v>
      </c>
    </row>
    <row r="3" spans="1:9">
      <c r="A3" s="4" t="s">
        <v>5</v>
      </c>
      <c r="B3" s="5" t="s">
        <v>6</v>
      </c>
      <c r="C3" s="3" t="s">
        <v>7</v>
      </c>
      <c r="D3" s="6" t="s">
        <v>8</v>
      </c>
    </row>
    <row r="5" spans="1:9">
      <c r="A5" s="10" t="s">
        <v>273</v>
      </c>
      <c r="B5" s="10" t="s">
        <v>274</v>
      </c>
      <c r="C5" s="10" t="s">
        <v>275</v>
      </c>
    </row>
    <row r="6" spans="1:9">
      <c r="A6" s="9" t="s">
        <v>276</v>
      </c>
      <c r="B6" s="19">
        <f>IF(ABS('Sources &amp; Uses'!B21)&lt;0.01,"OK","FAIL")</f>
        <v>0</v>
      </c>
      <c r="C6" s="8" t="s">
        <v>277</v>
      </c>
    </row>
    <row r="7" spans="1:9">
      <c r="A7" s="9" t="s">
        <v>278</v>
      </c>
      <c r="B7" s="19">
        <f>IF(ABS('Ownership EPS'!B8-'Transaction Assumptions'!B21)&lt;0.01,"OK","FAIL")</f>
        <v>0</v>
      </c>
      <c r="C7" s="8" t="s">
        <v>279</v>
      </c>
    </row>
    <row r="8" spans="1:9">
      <c r="A8" s="9" t="s">
        <v>280</v>
      </c>
      <c r="B8" s="19">
        <f>IF(ABS('Purchase Accounting'!B20)&lt;0.01,"OK","FAIL")</f>
        <v>0</v>
      </c>
      <c r="C8" s="8" t="s">
        <v>281</v>
      </c>
    </row>
    <row r="9" spans="1:9">
      <c r="A9" s="9" t="s">
        <v>282</v>
      </c>
      <c r="B9" s="19">
        <f>IF('Purchase Accounting'!B12&gt;=0,"OK","FAIL")</f>
        <v>0</v>
      </c>
      <c r="C9" s="8" t="s">
        <v>283</v>
      </c>
    </row>
    <row r="10" spans="1:9">
      <c r="A10" s="9" t="s">
        <v>284</v>
      </c>
      <c r="B10" s="19">
        <f>IF(ABS('Transaction Assumptions'!B12-('Transaction Assumptions'!B10+'Transaction Assumptions'!B11))&lt;0.01,"OK","FAIL")</f>
        <v>0</v>
      </c>
      <c r="C10" s="8" t="s">
        <v>285</v>
      </c>
    </row>
    <row r="11" spans="1:9">
      <c r="A11" s="9" t="s">
        <v>286</v>
      </c>
      <c r="B11" s="19">
        <f>IF(ABS('Pro Forma Income Statement'!B22-SUM('Pro Forma Income Statement'!B14:B21))&lt;0.01,"OK","FAIL")</f>
        <v>0</v>
      </c>
      <c r="C11" s="8" t="s">
        <v>287</v>
      </c>
    </row>
    <row r="12" spans="1:9">
      <c r="A12" s="9" t="s">
        <v>288</v>
      </c>
      <c r="B12" s="19">
        <f>IF(ABS('Pro Forma Income Statement'!B24-('Pro Forma Income Statement'!B22/'Pro Forma Income Statement'!B23))&lt;0.01,"OK","FAIL")</f>
        <v>0</v>
      </c>
      <c r="C12" s="8" t="s">
        <v>289</v>
      </c>
    </row>
    <row r="13" spans="1:9">
      <c r="A13" s="9" t="s">
        <v>290</v>
      </c>
      <c r="B13" s="19">
        <f>IF(ABS('Accretion Dilution'!B8-('Accretion Dilution'!B7/'Accretion Dilution'!B6-1))&lt;0.01,"OK","FAIL")</f>
        <v>0</v>
      </c>
      <c r="C13" s="8" t="s">
        <v>291</v>
      </c>
    </row>
    <row r="14" spans="1:9">
      <c r="A14" s="9" t="s">
        <v>292</v>
      </c>
      <c r="B14" s="19">
        <f>IF(MIN('Ownership EPS'!B6:F8)&gt;0,"OK","FAIL")</f>
        <v>0</v>
      </c>
      <c r="C14" s="8" t="s">
        <v>293</v>
      </c>
    </row>
    <row r="15" spans="1:9">
      <c r="A15" s="9" t="s">
        <v>294</v>
      </c>
      <c r="B15" s="19">
        <f>IF(OR('Control Panel'!B37="Base",'Control Panel'!B37="Downside",'Control Panel'!B37="Upside"),"OK","FAIL")</f>
        <v>0</v>
      </c>
      <c r="C15" s="8" t="s">
        <v>295</v>
      </c>
    </row>
    <row r="16" spans="1:9">
      <c r="A16" s="9" t="s">
        <v>296</v>
      </c>
      <c r="B16" s="19">
        <f>IF(TRUE,"OK","FAIL")</f>
        <v>0</v>
      </c>
      <c r="C16" s="8" t="s">
        <v>297</v>
      </c>
    </row>
    <row r="17" spans="1:3">
      <c r="A17" s="9" t="s">
        <v>298</v>
      </c>
      <c r="B17" s="19">
        <f>IF(ABS(SUM('Control Panel'!B19:B21)-1)&lt;0.001,"OK","FAIL")</f>
        <v>0</v>
      </c>
      <c r="C17" s="8" t="s">
        <v>299</v>
      </c>
    </row>
  </sheetData>
  <mergeCells count="1">
    <mergeCell ref="A1:I1"/>
  </mergeCells>
  <conditionalFormatting sqref="A1:M81">
    <cfRule type="containsText" dxfId="1" priority="2" operator="containsText" text="FAIL">
      <formula>NOT(ISERROR(SEARCH("FAIL",A1)))</formula>
    </cfRule>
    <cfRule type="containsText" dxfId="0" priority="3" operator="containsText" text="placeholder">
      <formula>NOT(ISERROR(SEARCH("placeholder",A1)))</formula>
    </cfRule>
  </conditionalFormatting>
  <conditionalFormatting sqref="B6:B18">
    <cfRule type="containsText" dxfId="1" priority="1" operator="containsText" text="FAIL">
      <formula>NOT(ISERROR(SEARCH("FAIL",B6)))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17365D"/>
  </sheetPr>
  <dimension ref="A1:I19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0.7109375" customWidth="1"/>
    <col min="2" max="2" width="46.7109375" customWidth="1"/>
    <col min="3" max="3" width="18.7109375" customWidth="1"/>
    <col min="4" max="4" width="60.7109375" customWidth="1"/>
    <col min="5" max="11" width="15.7109375" customWidth="1"/>
  </cols>
  <sheetData>
    <row r="1" spans="1:9" ht="24" customHeight="1">
      <c r="A1" s="1" t="s">
        <v>32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3" t="s">
        <v>2</v>
      </c>
      <c r="D2" s="2" t="s">
        <v>3</v>
      </c>
      <c r="E2" s="3" t="s">
        <v>4</v>
      </c>
    </row>
    <row r="3" spans="1:9">
      <c r="A3" s="4" t="s">
        <v>5</v>
      </c>
      <c r="B3" s="5" t="s">
        <v>6</v>
      </c>
      <c r="C3" s="3" t="s">
        <v>7</v>
      </c>
      <c r="D3" s="6" t="s">
        <v>8</v>
      </c>
    </row>
    <row r="5" spans="1:9">
      <c r="A5" s="10" t="s">
        <v>300</v>
      </c>
      <c r="B5" s="10" t="s">
        <v>301</v>
      </c>
      <c r="C5" s="10" t="s">
        <v>302</v>
      </c>
      <c r="D5" s="10" t="s">
        <v>303</v>
      </c>
    </row>
    <row r="6" spans="1:9">
      <c r="A6" s="9" t="s">
        <v>304</v>
      </c>
      <c r="B6" s="8" t="s">
        <v>305</v>
      </c>
      <c r="C6" s="3" t="s">
        <v>306</v>
      </c>
      <c r="D6" s="8" t="s">
        <v>307</v>
      </c>
    </row>
    <row r="7" spans="1:9">
      <c r="A7" s="9" t="s">
        <v>304</v>
      </c>
      <c r="B7" s="8" t="s">
        <v>308</v>
      </c>
      <c r="C7" s="3" t="s">
        <v>306</v>
      </c>
      <c r="D7" s="8" t="s">
        <v>309</v>
      </c>
    </row>
    <row r="8" spans="1:9">
      <c r="A8" s="9" t="s">
        <v>304</v>
      </c>
      <c r="B8" s="8" t="s">
        <v>310</v>
      </c>
      <c r="C8" s="3" t="s">
        <v>306</v>
      </c>
      <c r="D8" s="8" t="s">
        <v>311</v>
      </c>
    </row>
    <row r="9" spans="1:9">
      <c r="A9" s="9" t="s">
        <v>304</v>
      </c>
      <c r="B9" s="8" t="s">
        <v>312</v>
      </c>
      <c r="C9" s="3" t="s">
        <v>306</v>
      </c>
      <c r="D9" s="8" t="s">
        <v>313</v>
      </c>
    </row>
    <row r="10" spans="1:9">
      <c r="A10" s="9" t="s">
        <v>304</v>
      </c>
      <c r="B10" s="8" t="s">
        <v>314</v>
      </c>
      <c r="C10" s="3" t="s">
        <v>306</v>
      </c>
      <c r="D10" s="8" t="s">
        <v>315</v>
      </c>
    </row>
    <row r="11" spans="1:9">
      <c r="A11" s="9" t="s">
        <v>304</v>
      </c>
      <c r="B11" s="8" t="s">
        <v>316</v>
      </c>
      <c r="C11" s="3" t="s">
        <v>306</v>
      </c>
      <c r="D11" s="8" t="s">
        <v>317</v>
      </c>
    </row>
    <row r="14" spans="1:9">
      <c r="A14" s="7" t="s">
        <v>318</v>
      </c>
    </row>
    <row r="15" spans="1:9">
      <c r="A15" s="6" t="s">
        <v>319</v>
      </c>
    </row>
    <row r="18" spans="1:1">
      <c r="A18" s="7" t="s">
        <v>320</v>
      </c>
    </row>
    <row r="19" spans="1:1">
      <c r="A19" s="6" t="s">
        <v>321</v>
      </c>
    </row>
  </sheetData>
  <mergeCells count="1">
    <mergeCell ref="A1:I1"/>
  </mergeCells>
  <conditionalFormatting sqref="A1:M81">
    <cfRule type="containsText" dxfId="1" priority="1" operator="containsText" text="FAIL">
      <formula>NOT(ISERROR(SEARCH("FAIL",A1)))</formula>
    </cfRule>
    <cfRule type="containsText" dxfId="0" priority="2" operator="containsText" text="placeholder">
      <formula>NOT(ISERROR(SEARCH("placeholder",A1)))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55</vt:i4>
      </vt:variant>
    </vt:vector>
  </HeadingPairs>
  <TitlesOfParts>
    <vt:vector size="71" baseType="lpstr">
      <vt:lpstr>Cover</vt:lpstr>
      <vt:lpstr>Executive Summary</vt:lpstr>
      <vt:lpstr>Control Panel</vt:lpstr>
      <vt:lpstr>Buyer Standalone</vt:lpstr>
      <vt:lpstr>Target Standalone</vt:lpstr>
      <vt:lpstr>Transaction Assumptions</vt:lpstr>
      <vt:lpstr>Sources &amp; Uses</vt:lpstr>
      <vt:lpstr>Purchase Accounting</vt:lpstr>
      <vt:lpstr>Financing Assumptions</vt:lpstr>
      <vt:lpstr>Synergies</vt:lpstr>
      <vt:lpstr>Pro Forma Income Statement</vt:lpstr>
      <vt:lpstr>Accretion Dilution</vt:lpstr>
      <vt:lpstr>Ownership EPS</vt:lpstr>
      <vt:lpstr>Sensitivities</vt:lpstr>
      <vt:lpstr>Checks</vt:lpstr>
      <vt:lpstr>Source Notes</vt:lpstr>
      <vt:lpstr>Announcement_Year</vt:lpstr>
      <vt:lpstr>Buyer_Basic_Shares</vt:lpstr>
      <vt:lpstr>Buyer_Da_Percent_Revenue</vt:lpstr>
      <vt:lpstr>Buyer_Diluted_Shares</vt:lpstr>
      <vt:lpstr>Buyer_Ebitda_Margin</vt:lpstr>
      <vt:lpstr>Buyer_Fcf_Conversion</vt:lpstr>
      <vt:lpstr>Buyer_Interest_Expense</vt:lpstr>
      <vt:lpstr>Buyer_Name</vt:lpstr>
      <vt:lpstr>Buyer_Revenue_Base</vt:lpstr>
      <vt:lpstr>Buyer_Revenue_Growth</vt:lpstr>
      <vt:lpstr>Buyer_Share_Price</vt:lpstr>
      <vt:lpstr>Buyer_Standalone_Eps</vt:lpstr>
      <vt:lpstr>Cash_Mix</vt:lpstr>
      <vt:lpstr>Cash_To_Balance_Sheet</vt:lpstr>
      <vt:lpstr>Close_Year</vt:lpstr>
      <vt:lpstr>Cost_To_Achieve_Percent</vt:lpstr>
      <vt:lpstr>Debt_Mix</vt:lpstr>
      <vt:lpstr>Debt_Repayment_Percent</vt:lpstr>
      <vt:lpstr>Financing_Fee_Percent_Debt</vt:lpstr>
      <vt:lpstr>Forecast_Years</vt:lpstr>
      <vt:lpstr>Intangible_Life</vt:lpstr>
      <vt:lpstr>Intangible_Step_Up</vt:lpstr>
      <vt:lpstr>Inventory_Step_Up</vt:lpstr>
      <vt:lpstr>Lost_Cash_Interest_Rate</vt:lpstr>
      <vt:lpstr>New_Debt_Amount</vt:lpstr>
      <vt:lpstr>New_Debt_Interest_Rate</vt:lpstr>
      <vt:lpstr>Other_Adjustments</vt:lpstr>
      <vt:lpstr>Other_Financing</vt:lpstr>
      <vt:lpstr>Ppe_Step_Up</vt:lpstr>
      <vt:lpstr>Ppe_Step_Up_Life</vt:lpstr>
      <vt:lpstr>Revenue_Synergy_Margin</vt:lpstr>
      <vt:lpstr>Run_Rate_Cost_Synergies</vt:lpstr>
      <vt:lpstr>Run_Rate_Dis_Synergies</vt:lpstr>
      <vt:lpstr>Run_Rate_Revenue_Synergies</vt:lpstr>
      <vt:lpstr>Scenario_Selection</vt:lpstr>
      <vt:lpstr>Speculative_Upside_Synergies</vt:lpstr>
      <vt:lpstr>Stock_Mix</vt:lpstr>
      <vt:lpstr>Synergy_Ramp_Y1</vt:lpstr>
      <vt:lpstr>Synergy_Ramp_Y2</vt:lpstr>
      <vt:lpstr>Synergy_Ramp_Y3_Plus</vt:lpstr>
      <vt:lpstr>Target_Book_Equity</vt:lpstr>
      <vt:lpstr>Target_Da_Percent_Revenue</vt:lpstr>
      <vt:lpstr>Target_Diluted_Shares</vt:lpstr>
      <vt:lpstr>Target_Ebitda_Margin</vt:lpstr>
      <vt:lpstr>Target_Fcf_Conversion</vt:lpstr>
      <vt:lpstr>Target_Interest_Expense</vt:lpstr>
      <vt:lpstr>Target_Name</vt:lpstr>
      <vt:lpstr>Target_Net_Debt</vt:lpstr>
      <vt:lpstr>Target_Offer_Price</vt:lpstr>
      <vt:lpstr>Target_Revenue_Base</vt:lpstr>
      <vt:lpstr>Target_Revenue_Growth</vt:lpstr>
      <vt:lpstr>Target_Undisturbed_Price</vt:lpstr>
      <vt:lpstr>Tax_Rate</vt:lpstr>
      <vt:lpstr>Transaction_Fee_Percent_Ev</vt:lpstr>
      <vt:lpstr>Underwritten_Synergy_Realization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Banker Formula Workbook - Merger Model Builder</dc:title>
  <dc:subject>Live formula M&amp;A accretion/dilution model</dc:subject>
  <dc:creator>merger-model-builder</dc:creator>
  <dc:description>Generated by scripts/build_banker_formula_workbook.py</dc:description>
  <cp:lastModifiedBy>merger-model-builder</cp:lastModifiedBy>
  <dcterms:created xsi:type="dcterms:W3CDTF">2026-05-12T03:53:40Z</dcterms:created>
  <dcterms:modified xsi:type="dcterms:W3CDTF">2026-05-12T03:53:40Z</dcterms:modified>
</cp:coreProperties>
</file>