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Executive Summary" sheetId="2" state="visible" r:id="rId2"/>
    <sheet xmlns:r="http://schemas.openxmlformats.org/officeDocument/2006/relationships" name="Control Panel" sheetId="3" state="visible" r:id="rId3"/>
    <sheet xmlns:r="http://schemas.openxmlformats.org/officeDocument/2006/relationships" name="Historical Financials" sheetId="4" state="visible" r:id="rId4"/>
    <sheet xmlns:r="http://schemas.openxmlformats.org/officeDocument/2006/relationships" name="Revenue Build" sheetId="5" state="visible" r:id="rId5"/>
    <sheet xmlns:r="http://schemas.openxmlformats.org/officeDocument/2006/relationships" name="Margin Cost Build" sheetId="6" state="visible" r:id="rId6"/>
    <sheet xmlns:r="http://schemas.openxmlformats.org/officeDocument/2006/relationships" name="Working Capital" sheetId="7" state="visible" r:id="rId7"/>
    <sheet xmlns:r="http://schemas.openxmlformats.org/officeDocument/2006/relationships" name="Capex D&amp;A" sheetId="8" state="visible" r:id="rId8"/>
    <sheet xmlns:r="http://schemas.openxmlformats.org/officeDocument/2006/relationships" name="Tax Schedule" sheetId="9" state="visible" r:id="rId9"/>
    <sheet xmlns:r="http://schemas.openxmlformats.org/officeDocument/2006/relationships" name="Unlevered FCF" sheetId="10" state="visible" r:id="rId10"/>
    <sheet xmlns:r="http://schemas.openxmlformats.org/officeDocument/2006/relationships" name="WACC" sheetId="11" state="visible" r:id="rId11"/>
    <sheet xmlns:r="http://schemas.openxmlformats.org/officeDocument/2006/relationships" name="Terminal Value" sheetId="12" state="visible" r:id="rId12"/>
    <sheet xmlns:r="http://schemas.openxmlformats.org/officeDocument/2006/relationships" name="DCF Valuation" sheetId="13" state="visible" r:id="rId13"/>
    <sheet xmlns:r="http://schemas.openxmlformats.org/officeDocument/2006/relationships" name="Sensitivities" sheetId="14" state="visible" r:id="rId14"/>
    <sheet xmlns:r="http://schemas.openxmlformats.org/officeDocument/2006/relationships" name="Checks" sheetId="15" state="visible" r:id="rId15"/>
    <sheet xmlns:r="http://schemas.openxmlformats.org/officeDocument/2006/relationships" name="Source Notes" sheetId="16" state="visible" r:id="rId16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$#,##0.00;[Red]($#,##0.00);-"/>
    <numFmt numFmtId="165" formatCode="0.0%"/>
    <numFmt numFmtId="166" formatCode="0.00x"/>
    <numFmt numFmtId="167" formatCode="0.0x"/>
    <numFmt numFmtId="168" formatCode="$#,##0.0;[Red]($#,##0.0);-"/>
    <numFmt numFmtId="169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color rgb="000000FF"/>
      <sz val="10"/>
    </font>
  </fonts>
  <fills count="10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1F4E78"/>
      </patternFill>
    </fill>
    <fill>
      <patternFill patternType="solid">
        <fgColor rgb="00F2F4F7"/>
      </patternFill>
    </fill>
    <fill>
      <patternFill patternType="solid">
        <fgColor rgb="00E2F0D9"/>
      </patternFill>
    </fill>
    <fill>
      <patternFill patternType="solid">
        <fgColor rgb="00FFFFFF"/>
      </patternFill>
    </fill>
    <fill>
      <patternFill patternType="solid">
        <fgColor rgb="00D9EAF7"/>
      </patternFill>
    </fill>
    <fill>
      <patternFill patternType="solid">
        <fgColor rgb="00D9E1F2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medium">
        <color rgb="001F4E78"/>
      </top>
      <bottom style="medium">
        <color rgb="001F4E78"/>
      </bottom>
    </border>
    <border>
      <left style="thin">
        <color rgb="00B7B7B7"/>
      </left>
      <right style="thin">
        <color rgb="00B7B7B7"/>
      </right>
      <top style="thin">
        <color rgb="00B7B7B7"/>
      </top>
      <bottom style="medium">
        <color rgb="001F4E78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4" borderId="2" applyAlignment="1" pivotButton="0" quotePrefix="0" xfId="0">
      <alignment horizontal="left" vertical="center" wrapText="1"/>
    </xf>
    <xf numFmtId="0" fontId="4" fillId="5" borderId="2" applyAlignment="1" pivotButton="0" quotePrefix="0" xfId="0">
      <alignment vertical="center" wrapText="1"/>
    </xf>
    <xf numFmtId="0" fontId="4" fillId="6" borderId="2" applyAlignment="1" pivotButton="0" quotePrefix="0" xfId="0">
      <alignment vertical="center" wrapText="1"/>
    </xf>
    <xf numFmtId="0" fontId="3" fillId="0" borderId="2" applyAlignment="1" pivotButton="0" quotePrefix="0" xfId="0">
      <alignment horizontal="left" vertical="center" wrapText="1"/>
    </xf>
    <xf numFmtId="0" fontId="5" fillId="6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left" vertical="center" wrapText="1"/>
    </xf>
    <xf numFmtId="168" fontId="4" fillId="5" borderId="2" applyAlignment="1" pivotButton="0" quotePrefix="0" xfId="0">
      <alignment horizontal="right" vertical="center" wrapText="1"/>
    </xf>
    <xf numFmtId="164" fontId="4" fillId="5" borderId="2" applyAlignment="1" pivotButton="0" quotePrefix="0" xfId="0">
      <alignment horizontal="right" vertical="center" wrapText="1"/>
    </xf>
    <xf numFmtId="164" fontId="5" fillId="6" borderId="2" applyAlignment="1" pivotButton="0" quotePrefix="0" xfId="0">
      <alignment horizontal="right" vertical="center" wrapText="1"/>
    </xf>
    <xf numFmtId="165" fontId="4" fillId="5" borderId="2" applyAlignment="1" pivotButton="0" quotePrefix="0" xfId="0">
      <alignment horizontal="right" vertical="center" wrapText="1"/>
    </xf>
    <xf numFmtId="0" fontId="4" fillId="4" borderId="2" applyAlignment="1" pivotButton="0" quotePrefix="0" xfId="0">
      <alignment horizontal="left" vertical="center" wrapText="1"/>
    </xf>
    <xf numFmtId="0" fontId="4" fillId="9" borderId="2" applyAlignment="1" pivotButton="0" quotePrefix="0" xfId="0">
      <alignment horizontal="left" vertical="center" wrapText="1"/>
    </xf>
    <xf numFmtId="0" fontId="6" fillId="7" borderId="2" applyAlignment="1" pivotButton="0" quotePrefix="0" xfId="0">
      <alignment vertical="center" wrapText="1"/>
    </xf>
    <xf numFmtId="164" fontId="6" fillId="7" borderId="2" applyAlignment="1" pivotButton="0" quotePrefix="0" xfId="0">
      <alignment horizontal="right" vertical="center" wrapText="1"/>
    </xf>
    <xf numFmtId="165" fontId="6" fillId="7" borderId="2" applyAlignment="1" pivotButton="0" quotePrefix="0" xfId="0">
      <alignment horizontal="right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/>
    </xf>
    <xf numFmtId="166" fontId="6" fillId="7" borderId="2" applyAlignment="1" pivotButton="0" quotePrefix="0" xfId="0">
      <alignment horizontal="right" vertical="center" wrapText="1"/>
    </xf>
    <xf numFmtId="165" fontId="4" fillId="6" borderId="2" applyAlignment="1" pivotButton="0" quotePrefix="0" xfId="0">
      <alignment horizontal="right" vertical="center" wrapText="1"/>
    </xf>
    <xf numFmtId="167" fontId="6" fillId="7" borderId="2" applyAlignment="1" pivotButton="0" quotePrefix="0" xfId="0">
      <alignment horizontal="right" vertical="center" wrapText="1"/>
    </xf>
    <xf numFmtId="168" fontId="6" fillId="7" borderId="2" applyAlignment="1" pivotButton="0" quotePrefix="0" xfId="0">
      <alignment horizontal="right" vertical="center" wrapText="1"/>
    </xf>
    <xf numFmtId="169" fontId="6" fillId="7" borderId="2" applyAlignment="1" pivotButton="0" quotePrefix="0" xfId="0">
      <alignment horizontal="right" vertical="center" wrapText="1"/>
    </xf>
    <xf numFmtId="0" fontId="3" fillId="8" borderId="2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right" vertical="center" wrapText="1"/>
    </xf>
    <xf numFmtId="168" fontId="5" fillId="6" borderId="2" applyAlignment="1" pivotButton="0" quotePrefix="0" xfId="0">
      <alignment horizontal="right" vertical="center" wrapText="1"/>
    </xf>
    <xf numFmtId="165" fontId="4" fillId="6" borderId="2" applyAlignment="1" pivotButton="0" quotePrefix="0" xfId="0">
      <alignment vertical="center" wrapText="1"/>
    </xf>
    <xf numFmtId="165" fontId="5" fillId="6" borderId="2" applyAlignment="1" pivotButton="0" quotePrefix="0" xfId="0">
      <alignment horizontal="right" vertical="center" wrapText="1"/>
    </xf>
    <xf numFmtId="168" fontId="4" fillId="6" borderId="2" applyAlignment="1" pivotButton="0" quotePrefix="0" xfId="0">
      <alignment vertical="center" wrapText="1"/>
    </xf>
    <xf numFmtId="168" fontId="4" fillId="6" borderId="2" applyAlignment="1" pivotButton="0" quotePrefix="0" xfId="0">
      <alignment horizontal="right" vertical="center" wrapText="1"/>
    </xf>
    <xf numFmtId="165" fontId="4" fillId="5" borderId="2" applyAlignment="1" pivotButton="0" quotePrefix="0" xfId="0">
      <alignment vertical="center" wrapText="1"/>
    </xf>
    <xf numFmtId="165" fontId="5" fillId="6" borderId="2" applyAlignment="1" pivotButton="0" quotePrefix="0" xfId="0">
      <alignment vertical="center" wrapText="1"/>
    </xf>
    <xf numFmtId="168" fontId="5" fillId="5" borderId="2" applyAlignment="1" pivotButton="0" quotePrefix="0" xfId="0">
      <alignment horizontal="right" vertical="center" wrapText="1"/>
    </xf>
    <xf numFmtId="0" fontId="3" fillId="9" borderId="2" applyAlignment="1" pivotButton="0" quotePrefix="0" xfId="0">
      <alignment horizontal="left" vertical="center" wrapText="1"/>
    </xf>
    <xf numFmtId="166" fontId="4" fillId="6" borderId="2" applyAlignment="1" pivotButton="0" quotePrefix="0" xfId="0">
      <alignment vertical="center" wrapText="1"/>
    </xf>
    <xf numFmtId="166" fontId="4" fillId="6" borderId="2" applyAlignment="1" pivotButton="0" quotePrefix="0" xfId="0">
      <alignment horizontal="right" vertical="center" wrapText="1"/>
    </xf>
    <xf numFmtId="166" fontId="5" fillId="6" borderId="2" applyAlignment="1" pivotButton="0" quotePrefix="0" xfId="0">
      <alignment horizontal="right" vertical="center" wrapText="1"/>
    </xf>
    <xf numFmtId="168" fontId="4" fillId="5" borderId="2" applyAlignment="1" pivotButton="0" quotePrefix="0" xfId="0">
      <alignment vertical="center" wrapText="1"/>
    </xf>
    <xf numFmtId="167" fontId="5" fillId="6" borderId="2" applyAlignment="1" pivotButton="0" quotePrefix="0" xfId="0">
      <alignment horizontal="right" vertical="center" wrapText="1"/>
    </xf>
    <xf numFmtId="166" fontId="4" fillId="5" borderId="2" applyAlignment="1" pivotButton="0" quotePrefix="0" xfId="0">
      <alignment horizontal="right" vertical="center" wrapText="1"/>
    </xf>
    <xf numFmtId="167" fontId="4" fillId="5" borderId="2" applyAlignment="1" pivotButton="0" quotePrefix="0" xfId="0">
      <alignment horizontal="right" vertical="center" wrapText="1"/>
    </xf>
    <xf numFmtId="0" fontId="4" fillId="5" borderId="2" applyAlignment="1" pivotButton="0" quotePrefix="0" xfId="0">
      <alignment horizontal="right" vertical="center" wrapText="1"/>
    </xf>
    <xf numFmtId="169" fontId="5" fillId="6" borderId="2" applyAlignment="1" pivotButton="0" quotePrefix="0" xfId="0">
      <alignment horizontal="right" vertical="center" wrapText="1"/>
    </xf>
    <xf numFmtId="165" fontId="3" fillId="8" borderId="1" applyAlignment="1" pivotButton="0" quotePrefix="0" xfId="0">
      <alignment horizontal="center" vertical="center" wrapText="1"/>
    </xf>
    <xf numFmtId="165" fontId="6" fillId="7" borderId="2" applyAlignment="1" pivotButton="0" quotePrefix="0" xfId="0">
      <alignment vertical="center" wrapText="1"/>
    </xf>
    <xf numFmtId="165" fontId="3" fillId="8" borderId="1" applyAlignment="1" pivotButton="0" quotePrefix="0" xfId="0">
      <alignment horizontal="right" vertical="center" wrapText="1"/>
    </xf>
    <xf numFmtId="167" fontId="6" fillId="7" borderId="2" applyAlignment="1" pivotButton="0" quotePrefix="0" xfId="0">
      <alignment vertical="center" wrapText="1"/>
    </xf>
    <xf numFmtId="0" fontId="4" fillId="6" borderId="2" applyAlignment="1" pivotButton="0" quotePrefix="0" xfId="0">
      <alignment horizontal="right" vertical="center" wrapText="1"/>
    </xf>
  </cellXfs>
  <cellStyles count="1">
    <cellStyle name="Normal" xfId="0" builtinId="0" hidden="0"/>
  </cellStyles>
  <dxfs count="3">
    <dxf>
      <fill>
        <patternFill patternType="solid">
          <fgColor rgb="00E2F0D9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 outlineLevelCol="0"/>
  <cols>
    <col width="24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4" customHeight="1">
      <c r="A1" s="1" t="inlineStr">
        <is>
          <t>DCF Banker Formula Workbook Template</t>
        </is>
      </c>
    </row>
    <row r="2"/>
    <row r="3">
      <c r="A3" s="2" t="inlineStr">
        <is>
          <t>Workbook purpose</t>
        </is>
      </c>
    </row>
    <row r="4">
      <c r="A4" s="3" t="inlineStr">
        <is>
          <t>Artifact mode</t>
        </is>
      </c>
      <c r="B4" s="4" t="inlineStr">
        <is>
          <t>banker_formula_workbook</t>
        </is>
      </c>
    </row>
    <row r="5">
      <c r="A5" s="3" t="inlineStr">
        <is>
          <t>Generated timestamp</t>
        </is>
      </c>
      <c r="B5" s="5" t="inlineStr">
        <is>
          <t>2026-05-12T00:00:00+00:00</t>
        </is>
      </c>
    </row>
    <row r="6">
      <c r="A6" s="3" t="inlineStr">
        <is>
          <t>Model status</t>
        </is>
      </c>
      <c r="B6" s="4" t="inlineStr">
        <is>
          <t>Template; not decision-ready until populated with source-backed company data</t>
        </is>
      </c>
    </row>
    <row r="7">
      <c r="A7" s="3" t="inlineStr">
        <is>
          <t>Primary use</t>
        </is>
      </c>
      <c r="B7" s="4" t="inlineStr">
        <is>
          <t>Live Excel DCF workbook with formulas, sensitivities, checks, and source notes</t>
        </is>
      </c>
    </row>
    <row r="8">
      <c r="A8" s="3" t="inlineStr">
        <is>
          <t>No macros</t>
        </is>
      </c>
      <c r="B8" s="5" t="inlineStr">
        <is>
          <t>Yes</t>
        </is>
      </c>
    </row>
    <row r="9">
      <c r="A9" s="3" t="inlineStr">
        <is>
          <t>External links</t>
        </is>
      </c>
      <c r="B9" s="5" t="inlineStr">
        <is>
          <t>None expected; builder and tests validate this</t>
        </is>
      </c>
    </row>
    <row r="10"/>
    <row r="11"/>
    <row r="12">
      <c r="A12" s="2" t="inlineStr">
        <is>
          <t>Navigation</t>
        </is>
      </c>
    </row>
    <row r="13">
      <c r="A13" s="6" t="inlineStr">
        <is>
          <t>Executive Summary</t>
        </is>
      </c>
      <c r="B13" s="7">
        <f>HYPERLINK("#'Executive Summary'!A1","Open Executive Summary")</f>
        <v/>
      </c>
    </row>
    <row r="14">
      <c r="A14" s="6" t="inlineStr">
        <is>
          <t>Control Panel</t>
        </is>
      </c>
      <c r="B14" s="7">
        <f>HYPERLINK("#'Control Panel'!A1","Open Control Panel")</f>
        <v/>
      </c>
    </row>
    <row r="15">
      <c r="A15" s="8" t="inlineStr">
        <is>
          <t>Historical Financials</t>
        </is>
      </c>
      <c r="B15" s="7">
        <f>HYPERLINK("#'Historical Financials'!A1","Open Historical Financials")</f>
        <v/>
      </c>
    </row>
    <row r="16">
      <c r="A16" s="8" t="inlineStr">
        <is>
          <t>Revenue Build</t>
        </is>
      </c>
      <c r="B16" s="7">
        <f>HYPERLINK("#'Revenue Build'!A1","Open Revenue Build")</f>
        <v/>
      </c>
    </row>
    <row r="17">
      <c r="A17" s="8" t="inlineStr">
        <is>
          <t>Margin Cost Build</t>
        </is>
      </c>
      <c r="B17" s="7">
        <f>HYPERLINK("#'Margin Cost Build'!A1","Open Margin Cost Build")</f>
        <v/>
      </c>
    </row>
    <row r="18">
      <c r="A18" s="8" t="inlineStr">
        <is>
          <t>Working Capital</t>
        </is>
      </c>
      <c r="B18" s="7">
        <f>HYPERLINK("#'Working Capital'!A1","Open Working Capital")</f>
        <v/>
      </c>
    </row>
    <row r="19">
      <c r="A19" s="8" t="inlineStr">
        <is>
          <t>Capex D&amp;A</t>
        </is>
      </c>
      <c r="B19" s="7">
        <f>HYPERLINK("#'Capex D&amp;A'!A1","Open Capex D&amp;A")</f>
        <v/>
      </c>
    </row>
    <row r="20">
      <c r="A20" s="8" t="inlineStr">
        <is>
          <t>Tax Schedule</t>
        </is>
      </c>
      <c r="B20" s="7">
        <f>HYPERLINK("#'Tax Schedule'!A1","Open Tax Schedule")</f>
        <v/>
      </c>
    </row>
    <row r="21">
      <c r="A21" s="8" t="inlineStr">
        <is>
          <t>Unlevered FCF</t>
        </is>
      </c>
      <c r="B21" s="7">
        <f>HYPERLINK("#'Unlevered FCF'!A1","Open Unlevered FCF")</f>
        <v/>
      </c>
    </row>
    <row r="22">
      <c r="A22" s="8" t="inlineStr">
        <is>
          <t>WACC</t>
        </is>
      </c>
      <c r="B22" s="7">
        <f>HYPERLINK("#'WACC'!A1","Open WACC")</f>
        <v/>
      </c>
    </row>
    <row r="23">
      <c r="A23" s="8" t="inlineStr">
        <is>
          <t>Terminal Value</t>
        </is>
      </c>
      <c r="B23" s="7">
        <f>HYPERLINK("#'Terminal Value'!A1","Open Terminal Value")</f>
        <v/>
      </c>
    </row>
    <row r="24">
      <c r="A24" s="6" t="inlineStr">
        <is>
          <t>DCF Valuation</t>
        </is>
      </c>
      <c r="B24" s="7">
        <f>HYPERLINK("#'DCF Valuation'!A1","Open DCF Valuation")</f>
        <v/>
      </c>
    </row>
    <row r="25">
      <c r="A25" s="8" t="inlineStr">
        <is>
          <t>Sensitivities</t>
        </is>
      </c>
      <c r="B25" s="7">
        <f>HYPERLINK("#'Sensitivities'!A1","Open Sensitivities")</f>
        <v/>
      </c>
    </row>
    <row r="26">
      <c r="A26" s="6" t="inlineStr">
        <is>
          <t>Checks</t>
        </is>
      </c>
      <c r="B26" s="7">
        <f>HYPERLINK("#'Checks'!A1","Open Checks")</f>
        <v/>
      </c>
    </row>
    <row r="27">
      <c r="A27" s="8" t="inlineStr">
        <is>
          <t>Source Notes</t>
        </is>
      </c>
      <c r="B27" s="7">
        <f>HYPERLINK("#'Source Notes'!A1","Open Source Notes")</f>
        <v/>
      </c>
    </row>
    <row r="28"/>
    <row r="29"/>
    <row r="30"/>
    <row r="31">
      <c r="A31" s="2" t="inlineStr">
        <is>
          <t>Usage notes</t>
        </is>
      </c>
    </row>
    <row r="32">
      <c r="A32" s="3" t="inlineStr">
        <is>
          <t>Note 1</t>
        </is>
      </c>
      <c r="B32" s="5" t="inlineStr">
        <is>
          <t>Populate Control Panel blue input cells first.</t>
        </is>
      </c>
    </row>
    <row r="33">
      <c r="A33" s="3" t="inlineStr">
        <is>
          <t>Note 2</t>
        </is>
      </c>
      <c r="B33" s="5" t="inlineStr">
        <is>
          <t>Replace illustrative historicals and Source Notes with source-backed company data.</t>
        </is>
      </c>
    </row>
    <row r="34">
      <c r="A34" s="3" t="inlineStr">
        <is>
          <t>Note 3</t>
        </is>
      </c>
      <c r="B34" s="5" t="inlineStr">
        <is>
          <t>Use Base/Downside/Upside scenario selection to flow assumptions through the model.</t>
        </is>
      </c>
    </row>
    <row r="35">
      <c r="A35" s="3" t="inlineStr">
        <is>
          <t>Note 4</t>
        </is>
      </c>
      <c r="B35" s="5" t="inlineStr">
        <is>
          <t>Review Checks before using the workbook in an investment memo or committee process.</t>
        </is>
      </c>
    </row>
  </sheetData>
  <mergeCells count="4">
    <mergeCell ref="A12:H12"/>
    <mergeCell ref="A3:H3"/>
    <mergeCell ref="A31:H31"/>
    <mergeCell ref="A1:H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H3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4" customWidth="1" min="1" max="1"/>
    <col width="20" customWidth="1" min="2" max="2"/>
    <col width="18" customWidth="1" min="3" max="3"/>
    <col width="26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4" customHeight="1">
      <c r="A1" s="1" t="inlineStr">
        <is>
          <t>Executive Summary</t>
        </is>
      </c>
    </row>
    <row r="2"/>
    <row r="3">
      <c r="A3" s="2" t="inlineStr">
        <is>
          <t>Leadership valuation summary</t>
        </is>
      </c>
    </row>
    <row r="4">
      <c r="A4" s="8" t="inlineStr">
        <is>
          <t>Company name</t>
        </is>
      </c>
      <c r="B4" s="7">
        <f>'Control Panel'!$B$4</f>
        <v/>
      </c>
    </row>
    <row r="5">
      <c r="A5" s="8" t="inlineStr">
        <is>
          <t>Valuation date</t>
        </is>
      </c>
      <c r="B5" s="7">
        <f>'Control Panel'!$B$7</f>
        <v/>
      </c>
    </row>
    <row r="6">
      <c r="A6" s="8" t="inlineStr">
        <is>
          <t>Currency / units</t>
        </is>
      </c>
      <c r="B6" s="7">
        <f>'Control Panel'!$B$5&amp;" / "&amp;'Control Panel'!$B$6</f>
        <v/>
      </c>
    </row>
    <row r="7">
      <c r="A7" s="3" t="inlineStr">
        <is>
          <t>Enterprise value</t>
        </is>
      </c>
      <c r="B7" s="9">
        <f>'DCF Valuation'!$B$6</f>
        <v/>
      </c>
    </row>
    <row r="8">
      <c r="A8" s="3" t="inlineStr">
        <is>
          <t>Equity value</t>
        </is>
      </c>
      <c r="B8" s="9">
        <f>'DCF Valuation'!$B$16</f>
        <v/>
      </c>
    </row>
    <row r="9">
      <c r="A9" s="3" t="inlineStr">
        <is>
          <t>Implied share price</t>
        </is>
      </c>
      <c r="B9" s="10">
        <f>'DCF Valuation'!$B$18</f>
        <v/>
      </c>
    </row>
    <row r="10">
      <c r="A10" s="8" t="inlineStr">
        <is>
          <t>Current share price</t>
        </is>
      </c>
      <c r="B10" s="11">
        <f>'DCF Valuation'!$B$19</f>
        <v/>
      </c>
    </row>
    <row r="11">
      <c r="A11" s="3" t="inlineStr">
        <is>
          <t>Upside / downside</t>
        </is>
      </c>
      <c r="B11" s="12">
        <f>'DCF Valuation'!$B$20</f>
        <v/>
      </c>
    </row>
    <row r="12">
      <c r="A12" s="8" t="inlineStr">
        <is>
          <t>Base case implied valuation</t>
        </is>
      </c>
      <c r="B12" s="11">
        <f>'Sensitivities'!G$51</f>
        <v/>
      </c>
    </row>
    <row r="13">
      <c r="A13" s="8" t="inlineStr">
        <is>
          <t>Downside case valuation</t>
        </is>
      </c>
      <c r="B13" s="11">
        <f>'Sensitivities'!G$50</f>
        <v/>
      </c>
    </row>
    <row r="14">
      <c r="A14" s="8" t="inlineStr">
        <is>
          <t>Upside case valuation</t>
        </is>
      </c>
      <c r="B14" s="11">
        <f>'Sensitivities'!G$52</f>
        <v/>
      </c>
    </row>
    <row r="15">
      <c r="A15" s="8" t="inlineStr">
        <is>
          <t>Recommendation placeholder</t>
        </is>
      </c>
      <c r="B15" s="7">
        <f>'Control Panel'!$B$13</f>
        <v/>
      </c>
    </row>
    <row r="16"/>
    <row r="17"/>
    <row r="18">
      <c r="A18" s="2" t="inlineStr">
        <is>
          <t>Key value drivers</t>
        </is>
      </c>
    </row>
    <row r="19">
      <c r="A19" s="13" t="inlineStr">
        <is>
          <t>Forecast revenue CAGR</t>
        </is>
      </c>
      <c r="B19" s="12">
        <f>(('Revenue Build'!J$14/'Revenue Build'!D$14)^(1/6))-1</f>
        <v/>
      </c>
    </row>
    <row r="20">
      <c r="A20" s="13" t="inlineStr">
        <is>
          <t>Terminal EBITDA margin</t>
        </is>
      </c>
      <c r="B20" s="12">
        <f>'Margin Cost Build'!J$11</f>
        <v/>
      </c>
    </row>
    <row r="21">
      <c r="A21" s="13" t="inlineStr">
        <is>
          <t>Selected WACC</t>
        </is>
      </c>
      <c r="B21" s="12">
        <f>'Control Panel'!$B$78</f>
        <v/>
      </c>
    </row>
    <row r="22">
      <c r="A22" s="13" t="inlineStr">
        <is>
          <t>Terminal growth rate</t>
        </is>
      </c>
      <c r="B22" s="12">
        <f>'Control Panel'!$B$83</f>
        <v/>
      </c>
    </row>
    <row r="23">
      <c r="A23" s="13" t="inlineStr">
        <is>
          <t>Terminal value % of EV</t>
        </is>
      </c>
      <c r="B23" s="12">
        <f>'DCF Valuation'!$B$7</f>
        <v/>
      </c>
    </row>
    <row r="24"/>
    <row r="25"/>
    <row r="26">
      <c r="A26" s="2" t="inlineStr">
        <is>
          <t>Main risks and open diligence</t>
        </is>
      </c>
    </row>
    <row r="27">
      <c r="A27" s="14" t="inlineStr">
        <is>
          <t>Risk 1</t>
        </is>
      </c>
      <c r="B27" s="5" t="inlineStr">
        <is>
          <t>Replace placeholder historicals with sourced financial statements.</t>
        </is>
      </c>
    </row>
    <row r="28">
      <c r="A28" s="14" t="inlineStr">
        <is>
          <t>Risk 2</t>
        </is>
      </c>
      <c r="B28" s="5" t="inlineStr">
        <is>
          <t>Confirm WACC market inputs as of valuation date.</t>
        </is>
      </c>
    </row>
    <row r="29">
      <c r="A29" s="14" t="inlineStr">
        <is>
          <t>Risk 3</t>
        </is>
      </c>
      <c r="B29" s="5" t="inlineStr">
        <is>
          <t>Validate terminal growth, exit multiple, and terminal ROIC support.</t>
        </is>
      </c>
    </row>
    <row r="30">
      <c r="A30" s="14" t="inlineStr">
        <is>
          <t>Risk 4</t>
        </is>
      </c>
      <c r="B30" s="5" t="inlineStr">
        <is>
          <t>Review NOLs, SBC, leases, pensions, minorities, and debt-like items where material.</t>
        </is>
      </c>
    </row>
  </sheetData>
  <mergeCells count="4">
    <mergeCell ref="A18:H18"/>
    <mergeCell ref="A26:H26"/>
    <mergeCell ref="A3:H3"/>
    <mergeCell ref="A1:H1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J9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</cols>
  <sheetData>
    <row r="1" ht="24" customHeight="1">
      <c r="A1" s="1" t="inlineStr">
        <is>
          <t>Control Panel</t>
        </is>
      </c>
    </row>
    <row r="2"/>
    <row r="3">
      <c r="A3" s="2" t="inlineStr">
        <is>
          <t>Model identity and switches</t>
        </is>
      </c>
    </row>
    <row r="4">
      <c r="A4" s="3" t="inlineStr">
        <is>
          <t>Company name</t>
        </is>
      </c>
      <c r="B4" s="15" t="inlineStr">
        <is>
          <t>Illustrative DCF TargetCo</t>
        </is>
      </c>
    </row>
    <row r="5">
      <c r="A5" s="13" t="inlineStr">
        <is>
          <t>Currency</t>
        </is>
      </c>
      <c r="B5" s="15" t="inlineStr">
        <is>
          <t>USD</t>
        </is>
      </c>
    </row>
    <row r="6">
      <c r="A6" s="13" t="inlineStr">
        <is>
          <t>Units</t>
        </is>
      </c>
      <c r="B6" s="15" t="inlineStr">
        <is>
          <t>$mm except per-share data</t>
        </is>
      </c>
    </row>
    <row r="7">
      <c r="A7" s="13" t="inlineStr">
        <is>
          <t>Valuation date</t>
        </is>
      </c>
      <c r="B7" s="15" t="inlineStr">
        <is>
          <t>2026-05-12</t>
        </is>
      </c>
    </row>
    <row r="8">
      <c r="A8" s="13" t="inlineStr">
        <is>
          <t>Model status</t>
        </is>
      </c>
      <c r="B8" s="15" t="inlineStr">
        <is>
          <t>template-screen-grade</t>
        </is>
      </c>
    </row>
    <row r="9">
      <c r="A9" s="13" t="inlineStr">
        <is>
          <t>Workbook mode</t>
        </is>
      </c>
      <c r="B9" s="15" t="inlineStr">
        <is>
          <t>banker_formula_workbook</t>
        </is>
      </c>
    </row>
    <row r="10">
      <c r="A10" s="3" t="inlineStr">
        <is>
          <t>Scenario selection</t>
        </is>
      </c>
      <c r="B10" s="15" t="inlineStr">
        <is>
          <t>Base</t>
        </is>
      </c>
    </row>
    <row r="11">
      <c r="A11" s="13" t="inlineStr">
        <is>
          <t>Mid-year convention</t>
        </is>
      </c>
      <c r="B11" s="15" t="inlineStr">
        <is>
          <t>Yes</t>
        </is>
      </c>
    </row>
    <row r="12">
      <c r="A12" s="13" t="inlineStr">
        <is>
          <t>Current share price</t>
        </is>
      </c>
      <c r="B12" s="16" t="n">
        <v>36.5</v>
      </c>
    </row>
    <row r="13">
      <c r="A13" s="13" t="inlineStr">
        <is>
          <t>Recommendation placeholder</t>
        </is>
      </c>
      <c r="B13" s="15" t="inlineStr">
        <is>
          <t>Insert recommendation language after senior review</t>
        </is>
      </c>
    </row>
    <row r="14">
      <c r="A14" s="3" t="inlineStr">
        <is>
          <t>Selected terminal value method</t>
        </is>
      </c>
      <c r="B14" s="15" t="inlineStr">
        <is>
          <t>Gordon Growth</t>
        </is>
      </c>
    </row>
    <row r="15">
      <c r="A15" s="13" t="inlineStr">
        <is>
          <t>Other revenue growth factor</t>
        </is>
      </c>
      <c r="B15" s="17" t="n">
        <v>0.8</v>
      </c>
    </row>
    <row r="16">
      <c r="A16" s="13" t="inlineStr">
        <is>
          <t>Gross profit bridge / revenue</t>
        </is>
      </c>
      <c r="B16" s="17" t="n">
        <v>0.345</v>
      </c>
    </row>
    <row r="17">
      <c r="A17" s="2" t="inlineStr">
        <is>
          <t>Scenario assumptions</t>
        </is>
      </c>
    </row>
    <row r="18">
      <c r="A18" s="18" t="inlineStr">
        <is>
          <t>Case / metric</t>
        </is>
      </c>
      <c r="B18" s="18" t="inlineStr">
        <is>
          <t>2025E</t>
        </is>
      </c>
      <c r="C18" s="18" t="inlineStr">
        <is>
          <t>2026E</t>
        </is>
      </c>
      <c r="D18" s="18" t="inlineStr">
        <is>
          <t>2027E</t>
        </is>
      </c>
      <c r="E18" s="18" t="inlineStr">
        <is>
          <t>2028E</t>
        </is>
      </c>
      <c r="F18" s="18" t="inlineStr">
        <is>
          <t>2029E</t>
        </is>
      </c>
      <c r="G18" s="18" t="inlineStr">
        <is>
          <t>2030E</t>
        </is>
      </c>
      <c r="H18" s="19" t="n"/>
      <c r="I18" s="19" t="n"/>
      <c r="J18" s="19" t="n"/>
    </row>
    <row r="19"/>
    <row r="20">
      <c r="A20" s="2" t="inlineStr">
        <is>
          <t>Revenue growth assumptions</t>
        </is>
      </c>
    </row>
    <row r="21">
      <c r="A21" s="3" t="inlineStr">
        <is>
          <t>Base</t>
        </is>
      </c>
      <c r="B21" s="17" t="n">
        <v>0.1</v>
      </c>
      <c r="C21" s="17" t="n">
        <v>0.09</v>
      </c>
      <c r="D21" s="17" t="n">
        <v>0.08</v>
      </c>
      <c r="E21" s="17" t="n">
        <v>0.07000000000000001</v>
      </c>
      <c r="F21" s="17" t="n">
        <v>0.06</v>
      </c>
      <c r="G21" s="17" t="n">
        <v>0.05</v>
      </c>
    </row>
    <row r="22">
      <c r="A22" s="13" t="inlineStr">
        <is>
          <t>Downside</t>
        </is>
      </c>
      <c r="B22" s="17" t="n">
        <v>0.05</v>
      </c>
      <c r="C22" s="17" t="n">
        <v>0.04</v>
      </c>
      <c r="D22" s="17" t="n">
        <v>0.035</v>
      </c>
      <c r="E22" s="17" t="n">
        <v>0.03</v>
      </c>
      <c r="F22" s="17" t="n">
        <v>0.025</v>
      </c>
      <c r="G22" s="17" t="n">
        <v>0.02</v>
      </c>
    </row>
    <row r="23">
      <c r="A23" s="13" t="inlineStr">
        <is>
          <t>Upside</t>
        </is>
      </c>
      <c r="B23" s="17" t="n">
        <v>0.14</v>
      </c>
      <c r="C23" s="17" t="n">
        <v>0.125</v>
      </c>
      <c r="D23" s="17" t="n">
        <v>0.11</v>
      </c>
      <c r="E23" s="17" t="n">
        <v>0.095</v>
      </c>
      <c r="F23" s="17" t="n">
        <v>0.08</v>
      </c>
      <c r="G23" s="17" t="n">
        <v>0.065</v>
      </c>
    </row>
    <row r="24"/>
    <row r="25">
      <c r="A25" s="2" t="inlineStr">
        <is>
          <t>EBITDA margin assumptions</t>
        </is>
      </c>
    </row>
    <row r="26">
      <c r="A26" s="3" t="inlineStr">
        <is>
          <t>Base</t>
        </is>
      </c>
      <c r="B26" s="17" t="n">
        <v>0.24</v>
      </c>
      <c r="C26" s="17" t="n">
        <v>0.25</v>
      </c>
      <c r="D26" s="17" t="n">
        <v>0.26</v>
      </c>
      <c r="E26" s="17" t="n">
        <v>0.27</v>
      </c>
      <c r="F26" s="17" t="n">
        <v>0.28</v>
      </c>
      <c r="G26" s="17" t="n">
        <v>0.285</v>
      </c>
    </row>
    <row r="27">
      <c r="A27" s="13" t="inlineStr">
        <is>
          <t>Downside</t>
        </is>
      </c>
      <c r="B27" s="17" t="n">
        <v>0.21</v>
      </c>
      <c r="C27" s="17" t="n">
        <v>0.215</v>
      </c>
      <c r="D27" s="17" t="n">
        <v>0.22</v>
      </c>
      <c r="E27" s="17" t="n">
        <v>0.225</v>
      </c>
      <c r="F27" s="17" t="n">
        <v>0.23</v>
      </c>
      <c r="G27" s="17" t="n">
        <v>0.235</v>
      </c>
    </row>
    <row r="28">
      <c r="A28" s="13" t="inlineStr">
        <is>
          <t>Upside</t>
        </is>
      </c>
      <c r="B28" s="17" t="n">
        <v>0.26</v>
      </c>
      <c r="C28" s="17" t="n">
        <v>0.275</v>
      </c>
      <c r="D28" s="17" t="n">
        <v>0.29</v>
      </c>
      <c r="E28" s="17" t="n">
        <v>0.3</v>
      </c>
      <c r="F28" s="17" t="n">
        <v>0.31</v>
      </c>
      <c r="G28" s="17" t="n">
        <v>0.315</v>
      </c>
    </row>
    <row r="29"/>
    <row r="30">
      <c r="A30" s="2" t="inlineStr">
        <is>
          <t>EBIT margin reference assumptions</t>
        </is>
      </c>
    </row>
    <row r="31">
      <c r="A31" s="3" t="inlineStr">
        <is>
          <t>Base</t>
        </is>
      </c>
      <c r="B31" s="17" t="n">
        <v>0.18</v>
      </c>
      <c r="C31" s="17" t="n">
        <v>0.188</v>
      </c>
      <c r="D31" s="17" t="n">
        <v>0.196</v>
      </c>
      <c r="E31" s="17" t="n">
        <v>0.205</v>
      </c>
      <c r="F31" s="17" t="n">
        <v>0.213</v>
      </c>
      <c r="G31" s="17" t="n">
        <v>0.218</v>
      </c>
    </row>
    <row r="32">
      <c r="A32" s="13" t="inlineStr">
        <is>
          <t>Downside</t>
        </is>
      </c>
      <c r="B32" s="17" t="n">
        <v>0.145</v>
      </c>
      <c r="C32" s="17" t="n">
        <v>0.15</v>
      </c>
      <c r="D32" s="17" t="n">
        <v>0.155</v>
      </c>
      <c r="E32" s="17" t="n">
        <v>0.16</v>
      </c>
      <c r="F32" s="17" t="n">
        <v>0.165</v>
      </c>
      <c r="G32" s="17" t="n">
        <v>0.17</v>
      </c>
    </row>
    <row r="33">
      <c r="A33" s="13" t="inlineStr">
        <is>
          <t>Upside</t>
        </is>
      </c>
      <c r="B33" s="17" t="n">
        <v>0.2</v>
      </c>
      <c r="C33" s="17" t="n">
        <v>0.215</v>
      </c>
      <c r="D33" s="17" t="n">
        <v>0.228</v>
      </c>
      <c r="E33" s="17" t="n">
        <v>0.238</v>
      </c>
      <c r="F33" s="17" t="n">
        <v>0.248</v>
      </c>
      <c r="G33" s="17" t="n">
        <v>0.253</v>
      </c>
    </row>
    <row r="34"/>
    <row r="35">
      <c r="A35" s="2" t="inlineStr">
        <is>
          <t>D&amp;A % revenue assumptions</t>
        </is>
      </c>
    </row>
    <row r="36">
      <c r="A36" s="3" t="inlineStr">
        <is>
          <t>Base</t>
        </is>
      </c>
      <c r="B36" s="17" t="n">
        <v>0.055</v>
      </c>
      <c r="C36" s="17" t="n">
        <v>0.055</v>
      </c>
      <c r="D36" s="17" t="n">
        <v>0.054</v>
      </c>
      <c r="E36" s="17" t="n">
        <v>0.054</v>
      </c>
      <c r="F36" s="17" t="n">
        <v>0.053</v>
      </c>
      <c r="G36" s="17" t="n">
        <v>0.053</v>
      </c>
    </row>
    <row r="37">
      <c r="A37" s="13" t="inlineStr">
        <is>
          <t>Downside</t>
        </is>
      </c>
      <c r="B37" s="17" t="n">
        <v>0.058</v>
      </c>
      <c r="C37" s="17" t="n">
        <v>0.058</v>
      </c>
      <c r="D37" s="17" t="n">
        <v>0.057</v>
      </c>
      <c r="E37" s="17" t="n">
        <v>0.057</v>
      </c>
      <c r="F37" s="17" t="n">
        <v>0.056</v>
      </c>
      <c r="G37" s="17" t="n">
        <v>0.056</v>
      </c>
    </row>
    <row r="38">
      <c r="A38" s="13" t="inlineStr">
        <is>
          <t>Upside</t>
        </is>
      </c>
      <c r="B38" s="17" t="n">
        <v>0.052</v>
      </c>
      <c r="C38" s="17" t="n">
        <v>0.052</v>
      </c>
      <c r="D38" s="17" t="n">
        <v>0.051</v>
      </c>
      <c r="E38" s="17" t="n">
        <v>0.051</v>
      </c>
      <c r="F38" s="17" t="n">
        <v>0.05</v>
      </c>
      <c r="G38" s="17" t="n">
        <v>0.05</v>
      </c>
    </row>
    <row r="39"/>
    <row r="40">
      <c r="A40" s="2" t="inlineStr">
        <is>
          <t>Capex % revenue assumptions</t>
        </is>
      </c>
    </row>
    <row r="41">
      <c r="A41" s="3" t="inlineStr">
        <is>
          <t>Base</t>
        </is>
      </c>
      <c r="B41" s="17" t="n">
        <v>0.07000000000000001</v>
      </c>
      <c r="C41" s="17" t="n">
        <v>0.068</v>
      </c>
      <c r="D41" s="17" t="n">
        <v>0.066</v>
      </c>
      <c r="E41" s="17" t="n">
        <v>0.064</v>
      </c>
      <c r="F41" s="17" t="n">
        <v>0.062</v>
      </c>
      <c r="G41" s="17" t="n">
        <v>0.06</v>
      </c>
    </row>
    <row r="42">
      <c r="A42" s="13" t="inlineStr">
        <is>
          <t>Downside</t>
        </is>
      </c>
      <c r="B42" s="17" t="n">
        <v>0.075</v>
      </c>
      <c r="C42" s="17" t="n">
        <v>0.073</v>
      </c>
      <c r="D42" s="17" t="n">
        <v>0.07099999999999999</v>
      </c>
      <c r="E42" s="17" t="n">
        <v>0.06900000000000001</v>
      </c>
      <c r="F42" s="17" t="n">
        <v>0.067</v>
      </c>
      <c r="G42" s="17" t="n">
        <v>0.065</v>
      </c>
    </row>
    <row r="43">
      <c r="A43" s="13" t="inlineStr">
        <is>
          <t>Upside</t>
        </is>
      </c>
      <c r="B43" s="17" t="n">
        <v>0.068</v>
      </c>
      <c r="C43" s="17" t="n">
        <v>0.066</v>
      </c>
      <c r="D43" s="17" t="n">
        <v>0.064</v>
      </c>
      <c r="E43" s="17" t="n">
        <v>0.062</v>
      </c>
      <c r="F43" s="17" t="n">
        <v>0.06</v>
      </c>
      <c r="G43" s="17" t="n">
        <v>0.058</v>
      </c>
    </row>
    <row r="44"/>
    <row r="45">
      <c r="A45" s="2" t="inlineStr">
        <is>
          <t>Operating NWC % revenue assumptions</t>
        </is>
      </c>
    </row>
    <row r="46">
      <c r="A46" s="3" t="inlineStr">
        <is>
          <t>Base</t>
        </is>
      </c>
      <c r="B46" s="17" t="n">
        <v>0.115</v>
      </c>
      <c r="C46" s="17" t="n">
        <v>0.114</v>
      </c>
      <c r="D46" s="17" t="n">
        <v>0.113</v>
      </c>
      <c r="E46" s="17" t="n">
        <v>0.112</v>
      </c>
      <c r="F46" s="17" t="n">
        <v>0.111</v>
      </c>
      <c r="G46" s="17" t="n">
        <v>0.11</v>
      </c>
    </row>
    <row r="47">
      <c r="A47" s="13" t="inlineStr">
        <is>
          <t>Downside</t>
        </is>
      </c>
      <c r="B47" s="17" t="n">
        <v>0.125</v>
      </c>
      <c r="C47" s="17" t="n">
        <v>0.125</v>
      </c>
      <c r="D47" s="17" t="n">
        <v>0.124</v>
      </c>
      <c r="E47" s="17" t="n">
        <v>0.124</v>
      </c>
      <c r="F47" s="17" t="n">
        <v>0.123</v>
      </c>
      <c r="G47" s="17" t="n">
        <v>0.123</v>
      </c>
    </row>
    <row r="48">
      <c r="A48" s="13" t="inlineStr">
        <is>
          <t>Upside</t>
        </is>
      </c>
      <c r="B48" s="17" t="n">
        <v>0.108</v>
      </c>
      <c r="C48" s="17" t="n">
        <v>0.107</v>
      </c>
      <c r="D48" s="17" t="n">
        <v>0.106</v>
      </c>
      <c r="E48" s="17" t="n">
        <v>0.105</v>
      </c>
      <c r="F48" s="17" t="n">
        <v>0.104</v>
      </c>
      <c r="G48" s="17" t="n">
        <v>0.103</v>
      </c>
    </row>
    <row r="49"/>
    <row r="50">
      <c r="A50" s="2" t="inlineStr">
        <is>
          <t>Book tax rate assumptions</t>
        </is>
      </c>
    </row>
    <row r="51">
      <c r="A51" s="3" t="inlineStr">
        <is>
          <t>Base</t>
        </is>
      </c>
      <c r="B51" s="17" t="n">
        <v>0.245</v>
      </c>
      <c r="C51" s="17" t="n">
        <v>0.245</v>
      </c>
      <c r="D51" s="17" t="n">
        <v>0.245</v>
      </c>
      <c r="E51" s="17" t="n">
        <v>0.245</v>
      </c>
      <c r="F51" s="17" t="n">
        <v>0.245</v>
      </c>
      <c r="G51" s="17" t="n">
        <v>0.245</v>
      </c>
    </row>
    <row r="52">
      <c r="A52" s="13" t="inlineStr">
        <is>
          <t>Downside</t>
        </is>
      </c>
      <c r="B52" s="17" t="n">
        <v>0.25</v>
      </c>
      <c r="C52" s="17" t="n">
        <v>0.25</v>
      </c>
      <c r="D52" s="17" t="n">
        <v>0.25</v>
      </c>
      <c r="E52" s="17" t="n">
        <v>0.25</v>
      </c>
      <c r="F52" s="17" t="n">
        <v>0.25</v>
      </c>
      <c r="G52" s="17" t="n">
        <v>0.25</v>
      </c>
    </row>
    <row r="53">
      <c r="A53" s="13" t="inlineStr">
        <is>
          <t>Upside</t>
        </is>
      </c>
      <c r="B53" s="17" t="n">
        <v>0.24</v>
      </c>
      <c r="C53" s="17" t="n">
        <v>0.24</v>
      </c>
      <c r="D53" s="17" t="n">
        <v>0.24</v>
      </c>
      <c r="E53" s="17" t="n">
        <v>0.24</v>
      </c>
      <c r="F53" s="17" t="n">
        <v>0.24</v>
      </c>
      <c r="G53" s="17" t="n">
        <v>0.24</v>
      </c>
    </row>
    <row r="54"/>
    <row r="55">
      <c r="A55" s="2" t="inlineStr">
        <is>
          <t>Cash tax rate assumptions</t>
        </is>
      </c>
    </row>
    <row r="56">
      <c r="A56" s="3" t="inlineStr">
        <is>
          <t>Base</t>
        </is>
      </c>
      <c r="B56" s="17" t="n">
        <v>0.23</v>
      </c>
      <c r="C56" s="17" t="n">
        <v>0.235</v>
      </c>
      <c r="D56" s="17" t="n">
        <v>0.24</v>
      </c>
      <c r="E56" s="17" t="n">
        <v>0.245</v>
      </c>
      <c r="F56" s="17" t="n">
        <v>0.245</v>
      </c>
      <c r="G56" s="17" t="n">
        <v>0.245</v>
      </c>
    </row>
    <row r="57">
      <c r="A57" s="13" t="inlineStr">
        <is>
          <t>Downside</t>
        </is>
      </c>
      <c r="B57" s="17" t="n">
        <v>0.235</v>
      </c>
      <c r="C57" s="17" t="n">
        <v>0.24</v>
      </c>
      <c r="D57" s="17" t="n">
        <v>0.245</v>
      </c>
      <c r="E57" s="17" t="n">
        <v>0.25</v>
      </c>
      <c r="F57" s="17" t="n">
        <v>0.25</v>
      </c>
      <c r="G57" s="17" t="n">
        <v>0.25</v>
      </c>
    </row>
    <row r="58">
      <c r="A58" s="13" t="inlineStr">
        <is>
          <t>Upside</t>
        </is>
      </c>
      <c r="B58" s="17" t="n">
        <v>0.225</v>
      </c>
      <c r="C58" s="17" t="n">
        <v>0.23</v>
      </c>
      <c r="D58" s="17" t="n">
        <v>0.235</v>
      </c>
      <c r="E58" s="17" t="n">
        <v>0.24</v>
      </c>
      <c r="F58" s="17" t="n">
        <v>0.24</v>
      </c>
      <c r="G58" s="17" t="n">
        <v>0.24</v>
      </c>
    </row>
    <row r="59"/>
    <row r="60">
      <c r="A60" s="2" t="inlineStr">
        <is>
          <t>Working-capital driver assumptions</t>
        </is>
      </c>
    </row>
    <row r="61">
      <c r="A61" s="13" t="inlineStr">
        <is>
          <t>AR % revenue</t>
        </is>
      </c>
      <c r="B61" s="17" t="n">
        <v>0.14</v>
      </c>
      <c r="C61" s="17" t="n">
        <v>0.14</v>
      </c>
      <c r="D61" s="17" t="n">
        <v>0.138</v>
      </c>
      <c r="E61" s="17" t="n">
        <v>0.136</v>
      </c>
      <c r="F61" s="17" t="n">
        <v>0.134</v>
      </c>
      <c r="G61" s="17" t="n">
        <v>0.132</v>
      </c>
    </row>
    <row r="62">
      <c r="A62" s="13" t="inlineStr">
        <is>
          <t>Inventory % revenue</t>
        </is>
      </c>
      <c r="B62" s="17" t="n">
        <v>0.06</v>
      </c>
      <c r="C62" s="17" t="n">
        <v>0.06</v>
      </c>
      <c r="D62" s="17" t="n">
        <v>0.059</v>
      </c>
      <c r="E62" s="17" t="n">
        <v>0.058</v>
      </c>
      <c r="F62" s="17" t="n">
        <v>0.057</v>
      </c>
      <c r="G62" s="17" t="n">
        <v>0.056</v>
      </c>
    </row>
    <row r="63">
      <c r="A63" s="13" t="inlineStr">
        <is>
          <t>AP % revenue</t>
        </is>
      </c>
      <c r="B63" s="17" t="n">
        <v>0.08500000000000001</v>
      </c>
      <c r="C63" s="17" t="n">
        <v>0.08599999999999999</v>
      </c>
      <c r="D63" s="17" t="n">
        <v>0.08699999999999999</v>
      </c>
      <c r="E63" s="17" t="n">
        <v>0.08799999999999999</v>
      </c>
      <c r="F63" s="17" t="n">
        <v>0.089</v>
      </c>
      <c r="G63" s="17" t="n">
        <v>0.09</v>
      </c>
    </row>
    <row r="64">
      <c r="A64" s="13" t="inlineStr">
        <is>
          <t>Other current assets % revenue</t>
        </is>
      </c>
      <c r="B64" s="17" t="n">
        <v>0.035</v>
      </c>
      <c r="C64" s="17" t="n">
        <v>0.035</v>
      </c>
      <c r="D64" s="17" t="n">
        <v>0.034</v>
      </c>
      <c r="E64" s="17" t="n">
        <v>0.034</v>
      </c>
      <c r="F64" s="17" t="n">
        <v>0.033</v>
      </c>
      <c r="G64" s="17" t="n">
        <v>0.033</v>
      </c>
    </row>
    <row r="65">
      <c r="A65" s="13" t="inlineStr">
        <is>
          <t>Other current liabilities % revenue</t>
        </is>
      </c>
      <c r="B65" s="17" t="n">
        <v>0.035</v>
      </c>
      <c r="C65" s="17" t="n">
        <v>0.035</v>
      </c>
      <c r="D65" s="17" t="n">
        <v>0.035</v>
      </c>
      <c r="E65" s="17" t="n">
        <v>0.035</v>
      </c>
      <c r="F65" s="17" t="n">
        <v>0.035</v>
      </c>
      <c r="G65" s="17" t="n">
        <v>0.035</v>
      </c>
    </row>
    <row r="66"/>
    <row r="67"/>
    <row r="68">
      <c r="A68" s="2" t="inlineStr">
        <is>
          <t>WACC inputs and selected WACC</t>
        </is>
      </c>
    </row>
    <row r="69">
      <c r="A69" s="13" t="inlineStr">
        <is>
          <t>Risk-free rate</t>
        </is>
      </c>
      <c r="B69" s="17" t="n">
        <v>0.0425</v>
      </c>
    </row>
    <row r="70">
      <c r="A70" s="13" t="inlineStr">
        <is>
          <t>Beta</t>
        </is>
      </c>
      <c r="B70" s="20" t="n">
        <v>1.15</v>
      </c>
    </row>
    <row r="71">
      <c r="A71" s="13" t="inlineStr">
        <is>
          <t>Market risk premium</t>
        </is>
      </c>
      <c r="B71" s="17" t="n">
        <v>0.055</v>
      </c>
    </row>
    <row r="72">
      <c r="A72" s="13" t="inlineStr">
        <is>
          <t>Size premium</t>
        </is>
      </c>
      <c r="B72" s="17" t="n">
        <v>0.01</v>
      </c>
    </row>
    <row r="73">
      <c r="A73" s="13" t="inlineStr">
        <is>
          <t>Pre-tax cost of debt</t>
        </is>
      </c>
      <c r="B73" s="17" t="n">
        <v>0.065</v>
      </c>
    </row>
    <row r="74">
      <c r="A74" s="13" t="inlineStr">
        <is>
          <t>Target debt / total capital</t>
        </is>
      </c>
      <c r="B74" s="17" t="n">
        <v>0.25</v>
      </c>
    </row>
    <row r="75">
      <c r="A75" s="13" t="inlineStr">
        <is>
          <t>Target equity / total capital</t>
        </is>
      </c>
      <c r="B75" s="21">
        <f>1-B74</f>
        <v/>
      </c>
    </row>
    <row r="76">
      <c r="A76" s="13" t="inlineStr">
        <is>
          <t>Use WACC override?</t>
        </is>
      </c>
      <c r="B76" s="15" t="inlineStr">
        <is>
          <t>No</t>
        </is>
      </c>
    </row>
    <row r="77">
      <c r="A77" s="13" t="inlineStr">
        <is>
          <t>WACC override</t>
        </is>
      </c>
      <c r="B77" s="17" t="n">
        <v>0.09</v>
      </c>
    </row>
    <row r="78">
      <c r="A78" s="3" t="inlineStr">
        <is>
          <t>Selected WACC</t>
        </is>
      </c>
      <c r="B78" s="12">
        <f>IF(B76="Yes",B77,WACC!$B$17)</f>
        <v/>
      </c>
    </row>
    <row r="79">
      <c r="A79" s="13" t="inlineStr">
        <is>
          <t>External link status</t>
        </is>
      </c>
      <c r="B79" s="15" t="inlineStr">
        <is>
          <t>No external links</t>
        </is>
      </c>
    </row>
    <row r="80"/>
    <row r="81"/>
    <row r="82">
      <c r="A82" s="2" t="inlineStr">
        <is>
          <t>Terminal value and EV-to-equity bridge</t>
        </is>
      </c>
    </row>
    <row r="83">
      <c r="A83" s="13" t="inlineStr">
        <is>
          <t>Terminal growth rate</t>
        </is>
      </c>
      <c r="B83" s="17" t="n">
        <v>0.025</v>
      </c>
    </row>
    <row r="84">
      <c r="A84" s="13" t="inlineStr">
        <is>
          <t>Exit multiple</t>
        </is>
      </c>
      <c r="B84" s="22" t="n">
        <v>10.5</v>
      </c>
    </row>
    <row r="85">
      <c r="A85" s="13" t="inlineStr">
        <is>
          <t>Net debt</t>
        </is>
      </c>
      <c r="B85" s="23" t="n">
        <v>475</v>
      </c>
    </row>
    <row r="86">
      <c r="A86" s="13" t="inlineStr">
        <is>
          <t>Diluted shares</t>
        </is>
      </c>
      <c r="B86" s="24" t="n">
        <v>125</v>
      </c>
    </row>
    <row r="87">
      <c r="A87" s="13" t="inlineStr">
        <is>
          <t>Minority interest</t>
        </is>
      </c>
      <c r="B87" s="23" t="n">
        <v>25</v>
      </c>
    </row>
    <row r="88">
      <c r="A88" s="13" t="inlineStr">
        <is>
          <t>Preferred stock</t>
        </is>
      </c>
      <c r="B88" s="23" t="n">
        <v>0</v>
      </c>
    </row>
    <row r="89">
      <c r="A89" s="13" t="inlineStr">
        <is>
          <t>Non-operating assets</t>
        </is>
      </c>
      <c r="B89" s="23" t="n">
        <v>85</v>
      </c>
    </row>
    <row r="90">
      <c r="A90" s="13" t="inlineStr">
        <is>
          <t>Other equity adjustments</t>
        </is>
      </c>
      <c r="B90" s="23" t="n">
        <v>0</v>
      </c>
    </row>
  </sheetData>
  <mergeCells count="14">
    <mergeCell ref="A1:J1"/>
    <mergeCell ref="A45:J45"/>
    <mergeCell ref="A17:J17"/>
    <mergeCell ref="A40:J40"/>
    <mergeCell ref="A3:J3"/>
    <mergeCell ref="A30:J30"/>
    <mergeCell ref="A55:J55"/>
    <mergeCell ref="A35:J35"/>
    <mergeCell ref="A50:J50"/>
    <mergeCell ref="A20:J20"/>
    <mergeCell ref="A82:J82"/>
    <mergeCell ref="A25:J25"/>
    <mergeCell ref="A60:J60"/>
    <mergeCell ref="A68:J68"/>
  </mergeCells>
  <dataValidations count="4">
    <dataValidation sqref="B10" showDropDown="0" showInputMessage="0" showErrorMessage="0" allowBlank="0" type="list">
      <formula1>"Base,Downside,Upside"</formula1>
    </dataValidation>
    <dataValidation sqref="B11" showDropDown="0" showInputMessage="0" showErrorMessage="0" allowBlank="0" type="list">
      <formula1>"Yes,No"</formula1>
    </dataValidation>
    <dataValidation sqref="B14" showDropDown="0" showInputMessage="0" showErrorMessage="0" allowBlank="0" type="list">
      <formula1>"Gordon Growth,Exit Multiple"</formula1>
    </dataValidation>
    <dataValidation sqref="B76" showDropDown="0" showInputMessage="0" showErrorMessage="0" allowBlank="0" type="list">
      <formula1>"Yes,No"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L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24" customWidth="1" min="11" max="11"/>
    <col width="20" customWidth="1" min="12" max="12"/>
  </cols>
  <sheetData>
    <row r="1" ht="24" customHeight="1">
      <c r="A1" s="1" t="inlineStr">
        <is>
          <t>Historical Financials</t>
        </is>
      </c>
    </row>
    <row r="2"/>
    <row r="3"/>
    <row r="4"/>
    <row r="5">
      <c r="A5" s="25" t="inlineStr">
        <is>
          <t>Fiscal year</t>
        </is>
      </c>
      <c r="B5" s="26" t="inlineStr">
        <is>
          <t>2022A</t>
        </is>
      </c>
      <c r="C5" s="26" t="inlineStr">
        <is>
          <t>2023A</t>
        </is>
      </c>
      <c r="D5" s="26" t="inlineStr">
        <is>
          <t>2024A</t>
        </is>
      </c>
      <c r="E5" s="26" t="inlineStr">
        <is>
          <t>2025E</t>
        </is>
      </c>
      <c r="F5" s="26" t="inlineStr">
        <is>
          <t>2026E</t>
        </is>
      </c>
      <c r="G5" s="26" t="inlineStr">
        <is>
          <t>2027E</t>
        </is>
      </c>
      <c r="H5" s="26" t="inlineStr">
        <is>
          <t>2028E</t>
        </is>
      </c>
      <c r="I5" s="26" t="inlineStr">
        <is>
          <t>2029E</t>
        </is>
      </c>
      <c r="J5" s="26" t="inlineStr">
        <is>
          <t>2030E</t>
        </is>
      </c>
      <c r="K5" s="18" t="inlineStr">
        <is>
          <t>Source label</t>
        </is>
      </c>
      <c r="L5" s="18" t="inlineStr">
        <is>
          <t>Notes</t>
        </is>
      </c>
    </row>
    <row r="6">
      <c r="A6" s="3" t="inlineStr">
        <is>
          <t>Revenue</t>
        </is>
      </c>
      <c r="B6" s="23" t="n">
        <v>1000</v>
      </c>
      <c r="C6" s="23" t="n">
        <v>1120</v>
      </c>
      <c r="D6" s="23" t="n">
        <v>1240</v>
      </c>
      <c r="E6" s="27">
        <f>'Revenue Build'!E$14</f>
        <v/>
      </c>
      <c r="F6" s="27">
        <f>'Revenue Build'!F$14</f>
        <v/>
      </c>
      <c r="G6" s="27">
        <f>'Revenue Build'!G$14</f>
        <v/>
      </c>
      <c r="H6" s="27">
        <f>'Revenue Build'!H$14</f>
        <v/>
      </c>
      <c r="I6" s="27">
        <f>'Revenue Build'!I$14</f>
        <v/>
      </c>
      <c r="J6" s="27">
        <f>'Revenue Build'!J$14</f>
        <v/>
      </c>
      <c r="K6" s="5" t="inlineStr">
        <is>
          <t>placeholder</t>
        </is>
      </c>
      <c r="L6" s="5" t="inlineStr">
        <is>
          <t>Replace placeholders before decision use</t>
        </is>
      </c>
    </row>
    <row r="7">
      <c r="A7" s="8" t="inlineStr">
        <is>
          <t>Revenue growth</t>
        </is>
      </c>
      <c r="B7" s="28" t="inlineStr">
        <is>
          <t>-</t>
        </is>
      </c>
      <c r="C7" s="21">
        <f>C6/B6-1</f>
        <v/>
      </c>
      <c r="D7" s="21">
        <f>D6/C6-1</f>
        <v/>
      </c>
      <c r="E7" s="29">
        <f>E6/D6-1</f>
        <v/>
      </c>
      <c r="F7" s="29">
        <f>F6/E6-1</f>
        <v/>
      </c>
      <c r="G7" s="29">
        <f>G6/F6-1</f>
        <v/>
      </c>
      <c r="H7" s="29">
        <f>H6/G6-1</f>
        <v/>
      </c>
      <c r="I7" s="29">
        <f>I6/H6-1</f>
        <v/>
      </c>
      <c r="J7" s="29">
        <f>J6/I6-1</f>
        <v/>
      </c>
      <c r="K7" s="5" t="inlineStr">
        <is>
          <t>derived</t>
        </is>
      </c>
      <c r="L7" s="5" t="inlineStr">
        <is>
          <t>Formula-derived</t>
        </is>
      </c>
    </row>
    <row r="8">
      <c r="A8" s="8" t="inlineStr">
        <is>
          <t>Gross profit</t>
        </is>
      </c>
      <c r="B8" s="23" t="n">
        <v>560</v>
      </c>
      <c r="C8" s="23" t="n">
        <v>638.4</v>
      </c>
      <c r="D8" s="23" t="n">
        <v>719.2</v>
      </c>
      <c r="E8" s="27">
        <f>'Margin Cost Build'!E$9</f>
        <v/>
      </c>
      <c r="F8" s="27">
        <f>'Margin Cost Build'!F$9</f>
        <v/>
      </c>
      <c r="G8" s="27">
        <f>'Margin Cost Build'!G$9</f>
        <v/>
      </c>
      <c r="H8" s="27">
        <f>'Margin Cost Build'!H$9</f>
        <v/>
      </c>
      <c r="I8" s="27">
        <f>'Margin Cost Build'!I$9</f>
        <v/>
      </c>
      <c r="J8" s="27">
        <f>'Margin Cost Build'!J$9</f>
        <v/>
      </c>
      <c r="K8" s="5" t="inlineStr">
        <is>
          <t>placeholder</t>
        </is>
      </c>
      <c r="L8" s="5" t="inlineStr">
        <is>
          <t>Replace placeholders before decision use</t>
        </is>
      </c>
    </row>
    <row r="9">
      <c r="A9" s="8" t="inlineStr">
        <is>
          <t>Gross margin</t>
        </is>
      </c>
      <c r="B9" s="21">
        <f>B8/B6</f>
        <v/>
      </c>
      <c r="C9" s="21">
        <f>C8/C6</f>
        <v/>
      </c>
      <c r="D9" s="21">
        <f>D8/D6</f>
        <v/>
      </c>
      <c r="E9" s="29">
        <f>E8/E6</f>
        <v/>
      </c>
      <c r="F9" s="29">
        <f>F8/F6</f>
        <v/>
      </c>
      <c r="G9" s="29">
        <f>G8/G6</f>
        <v/>
      </c>
      <c r="H9" s="29">
        <f>H8/H6</f>
        <v/>
      </c>
      <c r="I9" s="29">
        <f>I8/I6</f>
        <v/>
      </c>
      <c r="J9" s="29">
        <f>J8/J6</f>
        <v/>
      </c>
      <c r="K9" s="5" t="inlineStr">
        <is>
          <t>derived</t>
        </is>
      </c>
      <c r="L9" s="5" t="inlineStr">
        <is>
          <t>Formula-derived</t>
        </is>
      </c>
    </row>
    <row r="10">
      <c r="A10" s="3" t="inlineStr">
        <is>
          <t>EBITDA</t>
        </is>
      </c>
      <c r="B10" s="23" t="n">
        <v>210</v>
      </c>
      <c r="C10" s="23" t="n">
        <v>252</v>
      </c>
      <c r="D10" s="23" t="n">
        <v>300.1</v>
      </c>
      <c r="E10" s="27">
        <f>'Margin Cost Build'!E$12</f>
        <v/>
      </c>
      <c r="F10" s="27">
        <f>'Margin Cost Build'!F$12</f>
        <v/>
      </c>
      <c r="G10" s="27">
        <f>'Margin Cost Build'!G$12</f>
        <v/>
      </c>
      <c r="H10" s="27">
        <f>'Margin Cost Build'!H$12</f>
        <v/>
      </c>
      <c r="I10" s="27">
        <f>'Margin Cost Build'!I$12</f>
        <v/>
      </c>
      <c r="J10" s="27">
        <f>'Margin Cost Build'!J$12</f>
        <v/>
      </c>
      <c r="K10" s="5" t="inlineStr">
        <is>
          <t>placeholder</t>
        </is>
      </c>
      <c r="L10" s="5" t="inlineStr">
        <is>
          <t>Replace placeholders before decision use</t>
        </is>
      </c>
    </row>
    <row r="11">
      <c r="A11" s="8" t="inlineStr">
        <is>
          <t>EBITDA margin</t>
        </is>
      </c>
      <c r="B11" s="21">
        <f>B10/B6</f>
        <v/>
      </c>
      <c r="C11" s="21">
        <f>C10/C6</f>
        <v/>
      </c>
      <c r="D11" s="21">
        <f>D10/D6</f>
        <v/>
      </c>
      <c r="E11" s="29">
        <f>E10/E6</f>
        <v/>
      </c>
      <c r="F11" s="29">
        <f>F10/F6</f>
        <v/>
      </c>
      <c r="G11" s="29">
        <f>G10/G6</f>
        <v/>
      </c>
      <c r="H11" s="29">
        <f>H10/H6</f>
        <v/>
      </c>
      <c r="I11" s="29">
        <f>I10/I6</f>
        <v/>
      </c>
      <c r="J11" s="29">
        <f>J10/J6</f>
        <v/>
      </c>
      <c r="K11" s="5" t="inlineStr">
        <is>
          <t>derived</t>
        </is>
      </c>
      <c r="L11" s="5" t="inlineStr">
        <is>
          <t>Formula-derived</t>
        </is>
      </c>
    </row>
    <row r="12">
      <c r="A12" s="8" t="inlineStr">
        <is>
          <t>D&amp;A</t>
        </is>
      </c>
      <c r="B12" s="23" t="n">
        <v>55</v>
      </c>
      <c r="C12" s="23" t="n">
        <v>61.6</v>
      </c>
      <c r="D12" s="23" t="n">
        <v>68.2</v>
      </c>
      <c r="E12" s="27">
        <f>'Capex D&amp;A'!E$12</f>
        <v/>
      </c>
      <c r="F12" s="27">
        <f>'Capex D&amp;A'!F$12</f>
        <v/>
      </c>
      <c r="G12" s="27">
        <f>'Capex D&amp;A'!G$12</f>
        <v/>
      </c>
      <c r="H12" s="27">
        <f>'Capex D&amp;A'!H$12</f>
        <v/>
      </c>
      <c r="I12" s="27">
        <f>'Capex D&amp;A'!I$12</f>
        <v/>
      </c>
      <c r="J12" s="27">
        <f>'Capex D&amp;A'!J$12</f>
        <v/>
      </c>
      <c r="K12" s="5" t="inlineStr">
        <is>
          <t>placeholder</t>
        </is>
      </c>
      <c r="L12" s="5" t="inlineStr">
        <is>
          <t>Replace placeholders before decision use</t>
        </is>
      </c>
    </row>
    <row r="13">
      <c r="A13" s="3" t="inlineStr">
        <is>
          <t>EBIT</t>
        </is>
      </c>
      <c r="B13" s="23" t="n">
        <v>155</v>
      </c>
      <c r="C13" s="23" t="n">
        <v>190.4</v>
      </c>
      <c r="D13" s="23" t="n">
        <v>231.9</v>
      </c>
      <c r="E13" s="27">
        <f>'Margin Cost Build'!E$15</f>
        <v/>
      </c>
      <c r="F13" s="27">
        <f>'Margin Cost Build'!F$15</f>
        <v/>
      </c>
      <c r="G13" s="27">
        <f>'Margin Cost Build'!G$15</f>
        <v/>
      </c>
      <c r="H13" s="27">
        <f>'Margin Cost Build'!H$15</f>
        <v/>
      </c>
      <c r="I13" s="27">
        <f>'Margin Cost Build'!I$15</f>
        <v/>
      </c>
      <c r="J13" s="27">
        <f>'Margin Cost Build'!J$15</f>
        <v/>
      </c>
      <c r="K13" s="5" t="inlineStr">
        <is>
          <t>placeholder</t>
        </is>
      </c>
      <c r="L13" s="5" t="inlineStr">
        <is>
          <t>Replace placeholders before decision use</t>
        </is>
      </c>
    </row>
    <row r="14">
      <c r="A14" s="8" t="inlineStr">
        <is>
          <t>EBIT margin</t>
        </is>
      </c>
      <c r="B14" s="21">
        <f>B13/B6</f>
        <v/>
      </c>
      <c r="C14" s="21">
        <f>C13/C6</f>
        <v/>
      </c>
      <c r="D14" s="21">
        <f>D13/D6</f>
        <v/>
      </c>
      <c r="E14" s="29">
        <f>E13/E6</f>
        <v/>
      </c>
      <c r="F14" s="29">
        <f>F13/F6</f>
        <v/>
      </c>
      <c r="G14" s="29">
        <f>G13/G6</f>
        <v/>
      </c>
      <c r="H14" s="29">
        <f>H13/H6</f>
        <v/>
      </c>
      <c r="I14" s="29">
        <f>I13/I6</f>
        <v/>
      </c>
      <c r="J14" s="29">
        <f>J13/J6</f>
        <v/>
      </c>
      <c r="K14" s="5" t="inlineStr">
        <is>
          <t>derived</t>
        </is>
      </c>
      <c r="L14" s="5" t="inlineStr">
        <is>
          <t>Formula-derived</t>
        </is>
      </c>
    </row>
    <row r="15">
      <c r="A15" s="8" t="inlineStr">
        <is>
          <t>Taxes</t>
        </is>
      </c>
      <c r="B15" s="23" t="n">
        <v>34.1</v>
      </c>
      <c r="C15" s="23" t="n">
        <v>43.8</v>
      </c>
      <c r="D15" s="23" t="n">
        <v>53.3</v>
      </c>
      <c r="E15" s="27">
        <f>'Tax Schedule'!E$12</f>
        <v/>
      </c>
      <c r="F15" s="27">
        <f>'Tax Schedule'!F$12</f>
        <v/>
      </c>
      <c r="G15" s="27">
        <f>'Tax Schedule'!G$12</f>
        <v/>
      </c>
      <c r="H15" s="27">
        <f>'Tax Schedule'!H$12</f>
        <v/>
      </c>
      <c r="I15" s="27">
        <f>'Tax Schedule'!I$12</f>
        <v/>
      </c>
      <c r="J15" s="27">
        <f>'Tax Schedule'!J$12</f>
        <v/>
      </c>
      <c r="K15" s="5" t="inlineStr">
        <is>
          <t>placeholder</t>
        </is>
      </c>
      <c r="L15" s="5" t="inlineStr">
        <is>
          <t>Replace placeholders before decision use</t>
        </is>
      </c>
    </row>
    <row r="16">
      <c r="A16" s="8" t="inlineStr">
        <is>
          <t>Net income</t>
        </is>
      </c>
      <c r="B16" s="23" t="n">
        <v>86</v>
      </c>
      <c r="C16" s="23" t="n">
        <v>112</v>
      </c>
      <c r="D16" s="23" t="n">
        <v>142</v>
      </c>
      <c r="E16" s="27">
        <f>E13-E15</f>
        <v/>
      </c>
      <c r="F16" s="27">
        <f>F13-F15</f>
        <v/>
      </c>
      <c r="G16" s="27">
        <f>G13-G15</f>
        <v/>
      </c>
      <c r="H16" s="27">
        <f>H13-H15</f>
        <v/>
      </c>
      <c r="I16" s="27">
        <f>I13-I15</f>
        <v/>
      </c>
      <c r="J16" s="27">
        <f>J13-J15</f>
        <v/>
      </c>
      <c r="K16" s="5" t="inlineStr">
        <is>
          <t>placeholder</t>
        </is>
      </c>
      <c r="L16" s="5" t="inlineStr">
        <is>
          <t>Replace placeholders before decision use</t>
        </is>
      </c>
    </row>
    <row r="17">
      <c r="A17" s="8" t="inlineStr">
        <is>
          <t>Capex</t>
        </is>
      </c>
      <c r="B17" s="23" t="n">
        <v>78</v>
      </c>
      <c r="C17" s="23" t="n">
        <v>82</v>
      </c>
      <c r="D17" s="23" t="n">
        <v>88</v>
      </c>
      <c r="E17" s="27">
        <f>'Capex D&amp;A'!E$9</f>
        <v/>
      </c>
      <c r="F17" s="27">
        <f>'Capex D&amp;A'!F$9</f>
        <v/>
      </c>
      <c r="G17" s="27">
        <f>'Capex D&amp;A'!G$9</f>
        <v/>
      </c>
      <c r="H17" s="27">
        <f>'Capex D&amp;A'!H$9</f>
        <v/>
      </c>
      <c r="I17" s="27">
        <f>'Capex D&amp;A'!I$9</f>
        <v/>
      </c>
      <c r="J17" s="27">
        <f>'Capex D&amp;A'!J$9</f>
        <v/>
      </c>
      <c r="K17" s="5" t="inlineStr">
        <is>
          <t>placeholder</t>
        </is>
      </c>
      <c r="L17" s="5" t="inlineStr">
        <is>
          <t>Replace placeholders before decision use</t>
        </is>
      </c>
    </row>
    <row r="18">
      <c r="A18" s="8" t="inlineStr">
        <is>
          <t>Operating NWC</t>
        </is>
      </c>
      <c r="B18" s="23" t="n">
        <v>118</v>
      </c>
      <c r="C18" s="23" t="n">
        <v>132</v>
      </c>
      <c r="D18" s="23" t="n">
        <v>144</v>
      </c>
      <c r="E18" s="27">
        <f>'Working Capital'!E$16</f>
        <v/>
      </c>
      <c r="F18" s="27">
        <f>'Working Capital'!F$16</f>
        <v/>
      </c>
      <c r="G18" s="27">
        <f>'Working Capital'!G$16</f>
        <v/>
      </c>
      <c r="H18" s="27">
        <f>'Working Capital'!H$16</f>
        <v/>
      </c>
      <c r="I18" s="27">
        <f>'Working Capital'!I$16</f>
        <v/>
      </c>
      <c r="J18" s="27">
        <f>'Working Capital'!J$16</f>
        <v/>
      </c>
      <c r="K18" s="5" t="inlineStr">
        <is>
          <t>placeholder</t>
        </is>
      </c>
      <c r="L18" s="5" t="inlineStr">
        <is>
          <t>Replace placeholders before decision use</t>
        </is>
      </c>
    </row>
    <row r="19">
      <c r="A19" s="8" t="inlineStr">
        <is>
          <t>Change in NWC</t>
        </is>
      </c>
      <c r="B19" s="28" t="inlineStr">
        <is>
          <t>-</t>
        </is>
      </c>
      <c r="C19" s="21">
        <f>C18/C6-B18/B6</f>
        <v/>
      </c>
      <c r="D19" s="21">
        <f>D18/D6-C18/C6</f>
        <v/>
      </c>
      <c r="E19" s="29">
        <f>'Working Capital'!E$17</f>
        <v/>
      </c>
      <c r="F19" s="29">
        <f>'Working Capital'!F$17</f>
        <v/>
      </c>
      <c r="G19" s="29">
        <f>'Working Capital'!G$17</f>
        <v/>
      </c>
      <c r="H19" s="29">
        <f>'Working Capital'!H$17</f>
        <v/>
      </c>
      <c r="I19" s="29">
        <f>'Working Capital'!I$17</f>
        <v/>
      </c>
      <c r="J19" s="29">
        <f>'Working Capital'!J$17</f>
        <v/>
      </c>
      <c r="K19" s="5" t="inlineStr">
        <is>
          <t>derived</t>
        </is>
      </c>
      <c r="L19" s="5" t="inlineStr">
        <is>
          <t>Formula-derived</t>
        </is>
      </c>
    </row>
    <row r="20">
      <c r="A20" s="3" t="inlineStr">
        <is>
          <t>Unlevered FCF</t>
        </is>
      </c>
      <c r="B20" s="23" t="n">
        <v>86</v>
      </c>
      <c r="C20" s="23" t="n">
        <v>98</v>
      </c>
      <c r="D20" s="23" t="n">
        <v>126</v>
      </c>
      <c r="E20" s="27">
        <f>'Unlevered FCF'!E$11</f>
        <v/>
      </c>
      <c r="F20" s="27">
        <f>'Unlevered FCF'!F$11</f>
        <v/>
      </c>
      <c r="G20" s="27">
        <f>'Unlevered FCF'!G$11</f>
        <v/>
      </c>
      <c r="H20" s="27">
        <f>'Unlevered FCF'!H$11</f>
        <v/>
      </c>
      <c r="I20" s="27">
        <f>'Unlevered FCF'!I$11</f>
        <v/>
      </c>
      <c r="J20" s="27">
        <f>'Unlevered FCF'!J$11</f>
        <v/>
      </c>
      <c r="K20" s="5" t="inlineStr">
        <is>
          <t>placeholder</t>
        </is>
      </c>
      <c r="L20" s="5" t="inlineStr">
        <is>
          <t>Replace placeholders before decision use</t>
        </is>
      </c>
    </row>
    <row r="21">
      <c r="A21" s="8" t="inlineStr">
        <is>
          <t>PP&amp;E</t>
        </is>
      </c>
      <c r="B21" s="23" t="n">
        <v>420</v>
      </c>
      <c r="C21" s="23" t="n">
        <v>440.4</v>
      </c>
      <c r="D21" s="23" t="n">
        <v>460.2</v>
      </c>
      <c r="E21" s="27">
        <f>'Capex D&amp;A'!E$13</f>
        <v/>
      </c>
      <c r="F21" s="27">
        <f>'Capex D&amp;A'!F$13</f>
        <v/>
      </c>
      <c r="G21" s="27">
        <f>'Capex D&amp;A'!G$13</f>
        <v/>
      </c>
      <c r="H21" s="27">
        <f>'Capex D&amp;A'!H$13</f>
        <v/>
      </c>
      <c r="I21" s="27">
        <f>'Capex D&amp;A'!I$13</f>
        <v/>
      </c>
      <c r="J21" s="27">
        <f>'Capex D&amp;A'!J$13</f>
        <v/>
      </c>
      <c r="K21" s="5" t="inlineStr">
        <is>
          <t>placeholder</t>
        </is>
      </c>
      <c r="L21" s="5" t="inlineStr">
        <is>
          <t>Replace placeholders before decision use</t>
        </is>
      </c>
    </row>
  </sheetData>
  <mergeCells count="1">
    <mergeCell ref="A1:L1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J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4" customHeight="1">
      <c r="A1" s="1" t="inlineStr">
        <is>
          <t>Revenue Build</t>
        </is>
      </c>
    </row>
    <row r="2"/>
    <row r="3"/>
    <row r="4"/>
    <row r="5">
      <c r="A5" s="25" t="inlineStr">
        <is>
          <t>Fiscal year</t>
        </is>
      </c>
      <c r="B5" s="26" t="inlineStr">
        <is>
          <t>2022A</t>
        </is>
      </c>
      <c r="C5" s="26" t="inlineStr">
        <is>
          <t>2023A</t>
        </is>
      </c>
      <c r="D5" s="26" t="inlineStr">
        <is>
          <t>2024A</t>
        </is>
      </c>
      <c r="E5" s="26" t="inlineStr">
        <is>
          <t>2025E</t>
        </is>
      </c>
      <c r="F5" s="26" t="inlineStr">
        <is>
          <t>2026E</t>
        </is>
      </c>
      <c r="G5" s="26" t="inlineStr">
        <is>
          <t>2027E</t>
        </is>
      </c>
      <c r="H5" s="26" t="inlineStr">
        <is>
          <t>2028E</t>
        </is>
      </c>
      <c r="I5" s="26" t="inlineStr">
        <is>
          <t>2029E</t>
        </is>
      </c>
      <c r="J5" s="26" t="inlineStr">
        <is>
          <t>2030E</t>
        </is>
      </c>
    </row>
    <row r="6"/>
    <row r="7">
      <c r="A7" s="2" t="inlineStr">
        <is>
          <t>Scenario-linked revenue forecast</t>
        </is>
      </c>
    </row>
    <row r="8">
      <c r="A8" s="8" t="inlineStr">
        <is>
          <t>Selected scenario</t>
        </is>
      </c>
      <c r="B8" s="30" t="inlineStr">
        <is>
          <t>Actual</t>
        </is>
      </c>
      <c r="C8" s="30" t="inlineStr">
        <is>
          <t>Actual</t>
        </is>
      </c>
      <c r="D8" s="30" t="inlineStr">
        <is>
          <t>Actual</t>
        </is>
      </c>
      <c r="E8" s="27">
        <f>'Control Panel'!$B$10</f>
        <v/>
      </c>
      <c r="F8" s="27">
        <f>'Control Panel'!$B$10</f>
        <v/>
      </c>
      <c r="G8" s="27">
        <f>'Control Panel'!$B$10</f>
        <v/>
      </c>
      <c r="H8" s="27">
        <f>'Control Panel'!$B$10</f>
        <v/>
      </c>
      <c r="I8" s="27">
        <f>'Control Panel'!$B$10</f>
        <v/>
      </c>
      <c r="J8" s="27">
        <f>'Control Panel'!$B$10</f>
        <v/>
      </c>
    </row>
    <row r="9">
      <c r="A9" s="8" t="inlineStr">
        <is>
          <t>Revenue growth assumption</t>
        </is>
      </c>
      <c r="B9" s="28" t="inlineStr">
        <is>
          <t>-</t>
        </is>
      </c>
      <c r="C9" s="21">
        <f>C14/B14-1</f>
        <v/>
      </c>
      <c r="D9" s="21">
        <f>D14/C14-1</f>
        <v/>
      </c>
      <c r="E9" s="29">
        <f>INDEX('Control Panel'!B$21:B$23,MATCH('Control Panel'!$B$10,'Control Panel'!$A$21:$A$23,0))</f>
        <v/>
      </c>
      <c r="F9" s="29">
        <f>INDEX('Control Panel'!C$21:C$23,MATCH('Control Panel'!$B$10,'Control Panel'!$A$21:$A$23,0))</f>
        <v/>
      </c>
      <c r="G9" s="29">
        <f>INDEX('Control Panel'!D$21:D$23,MATCH('Control Panel'!$B$10,'Control Panel'!$A$21:$A$23,0))</f>
        <v/>
      </c>
      <c r="H9" s="29">
        <f>INDEX('Control Panel'!E$21:E$23,MATCH('Control Panel'!$B$10,'Control Panel'!$A$21:$A$23,0))</f>
        <v/>
      </c>
      <c r="I9" s="29">
        <f>INDEX('Control Panel'!F$21:F$23,MATCH('Control Panel'!$B$10,'Control Panel'!$A$21:$A$23,0))</f>
        <v/>
      </c>
      <c r="J9" s="29">
        <f>INDEX('Control Panel'!G$21:G$23,MATCH('Control Panel'!$B$10,'Control Panel'!$A$21:$A$23,0))</f>
        <v/>
      </c>
    </row>
    <row r="10">
      <c r="A10" s="8" t="inlineStr">
        <is>
          <t>Core revenue</t>
        </is>
      </c>
      <c r="B10" s="23" t="n">
        <v>780</v>
      </c>
      <c r="C10" s="23" t="n">
        <v>873.6</v>
      </c>
      <c r="D10" s="23" t="n">
        <v>967.2</v>
      </c>
      <c r="E10" s="31">
        <f>D10*(1+E9)</f>
        <v/>
      </c>
      <c r="F10" s="31">
        <f>E10*(1+F9)</f>
        <v/>
      </c>
      <c r="G10" s="31">
        <f>F10*(1+G9)</f>
        <v/>
      </c>
      <c r="H10" s="31">
        <f>G10*(1+H9)</f>
        <v/>
      </c>
      <c r="I10" s="31">
        <f>H10*(1+I9)</f>
        <v/>
      </c>
      <c r="J10" s="31">
        <f>I10*(1+J9)</f>
        <v/>
      </c>
    </row>
    <row r="11">
      <c r="A11" s="8" t="inlineStr">
        <is>
          <t>Other revenue</t>
        </is>
      </c>
      <c r="B11" s="23" t="n">
        <v>220</v>
      </c>
      <c r="C11" s="23" t="n">
        <v>246.4</v>
      </c>
      <c r="D11" s="23" t="n">
        <v>272.8</v>
      </c>
      <c r="E11" s="31">
        <f>D11*(1+E9*'Control Panel'!$B$15)</f>
        <v/>
      </c>
      <c r="F11" s="31">
        <f>E11*(1+F9*'Control Panel'!$B$15)</f>
        <v/>
      </c>
      <c r="G11" s="31">
        <f>F11*(1+G9*'Control Panel'!$B$15)</f>
        <v/>
      </c>
      <c r="H11" s="31">
        <f>G11*(1+H9*'Control Panel'!$B$15)</f>
        <v/>
      </c>
      <c r="I11" s="31">
        <f>H11*(1+I9*'Control Panel'!$B$15)</f>
        <v/>
      </c>
      <c r="J11" s="31">
        <f>I11*(1+J9*'Control Panel'!$B$15)</f>
        <v/>
      </c>
    </row>
    <row r="12">
      <c r="A12" s="8" t="inlineStr">
        <is>
          <t>Segment mix / driver placeholder</t>
        </is>
      </c>
      <c r="B12" s="21">
        <f>B10/B14</f>
        <v/>
      </c>
      <c r="C12" s="21">
        <f>C10/C14</f>
        <v/>
      </c>
      <c r="D12" s="21">
        <f>D10/D14</f>
        <v/>
      </c>
      <c r="E12" s="21">
        <f>E10/E14</f>
        <v/>
      </c>
      <c r="F12" s="21">
        <f>F10/F14</f>
        <v/>
      </c>
      <c r="G12" s="21">
        <f>G10/G14</f>
        <v/>
      </c>
      <c r="H12" s="21">
        <f>H10/H14</f>
        <v/>
      </c>
      <c r="I12" s="21">
        <f>I10/I14</f>
        <v/>
      </c>
      <c r="J12" s="21">
        <f>J10/J14</f>
        <v/>
      </c>
    </row>
    <row r="13"/>
    <row r="14">
      <c r="A14" s="3" t="inlineStr">
        <is>
          <t>Output revenue</t>
        </is>
      </c>
      <c r="B14" s="9">
        <f>SUM(B10:B11)</f>
        <v/>
      </c>
      <c r="C14" s="9">
        <f>SUM(C10:C11)</f>
        <v/>
      </c>
      <c r="D14" s="9">
        <f>SUM(D10:D11)</f>
        <v/>
      </c>
      <c r="E14" s="9">
        <f>SUM(E10:E11)</f>
        <v/>
      </c>
      <c r="F14" s="9">
        <f>SUM(F10:F11)</f>
        <v/>
      </c>
      <c r="G14" s="9">
        <f>SUM(G10:G11)</f>
        <v/>
      </c>
      <c r="H14" s="9">
        <f>SUM(H10:H11)</f>
        <v/>
      </c>
      <c r="I14" s="9">
        <f>SUM(I10:I11)</f>
        <v/>
      </c>
      <c r="J14" s="9">
        <f>SUM(J10:J11)</f>
        <v/>
      </c>
    </row>
    <row r="15">
      <c r="A15" s="3" t="inlineStr">
        <is>
          <t>Output revenue growth</t>
        </is>
      </c>
      <c r="B15" s="32" t="inlineStr">
        <is>
          <t>-</t>
        </is>
      </c>
      <c r="C15" s="12">
        <f>C14/B14-1</f>
        <v/>
      </c>
      <c r="D15" s="12">
        <f>D14/C14-1</f>
        <v/>
      </c>
      <c r="E15" s="12">
        <f>E14/D14-1</f>
        <v/>
      </c>
      <c r="F15" s="12">
        <f>F14/E14-1</f>
        <v/>
      </c>
      <c r="G15" s="12">
        <f>G14/F14-1</f>
        <v/>
      </c>
      <c r="H15" s="12">
        <f>H14/G14-1</f>
        <v/>
      </c>
      <c r="I15" s="12">
        <f>I14/H14-1</f>
        <v/>
      </c>
      <c r="J15" s="12">
        <f>J14/I14-1</f>
        <v/>
      </c>
    </row>
  </sheetData>
  <mergeCells count="2">
    <mergeCell ref="A1:J1"/>
    <mergeCell ref="A7:J7"/>
  </mergeCell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J1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4" customHeight="1">
      <c r="A1" s="1" t="inlineStr">
        <is>
          <t>Margin / Cost Build</t>
        </is>
      </c>
    </row>
    <row r="2"/>
    <row r="3"/>
    <row r="4"/>
    <row r="5">
      <c r="A5" s="25" t="inlineStr">
        <is>
          <t>Fiscal year</t>
        </is>
      </c>
      <c r="B5" s="26" t="inlineStr">
        <is>
          <t>2022A</t>
        </is>
      </c>
      <c r="C5" s="26" t="inlineStr">
        <is>
          <t>2023A</t>
        </is>
      </c>
      <c r="D5" s="26" t="inlineStr">
        <is>
          <t>2024A</t>
        </is>
      </c>
      <c r="E5" s="26" t="inlineStr">
        <is>
          <t>2025E</t>
        </is>
      </c>
      <c r="F5" s="26" t="inlineStr">
        <is>
          <t>2026E</t>
        </is>
      </c>
      <c r="G5" s="26" t="inlineStr">
        <is>
          <t>2027E</t>
        </is>
      </c>
      <c r="H5" s="26" t="inlineStr">
        <is>
          <t>2028E</t>
        </is>
      </c>
      <c r="I5" s="26" t="inlineStr">
        <is>
          <t>2029E</t>
        </is>
      </c>
      <c r="J5" s="26" t="inlineStr">
        <is>
          <t>2030E</t>
        </is>
      </c>
    </row>
    <row r="6"/>
    <row r="7">
      <c r="A7" s="2" t="inlineStr">
        <is>
          <t>Operating profitability</t>
        </is>
      </c>
    </row>
    <row r="8">
      <c r="A8" s="3" t="inlineStr">
        <is>
          <t>Revenue</t>
        </is>
      </c>
      <c r="B8" s="27">
        <f>'Historical Financials'!B$6</f>
        <v/>
      </c>
      <c r="C8" s="27">
        <f>'Historical Financials'!C$6</f>
        <v/>
      </c>
      <c r="D8" s="27">
        <f>'Historical Financials'!D$6</f>
        <v/>
      </c>
      <c r="E8" s="27">
        <f>'Revenue Build'!E$14</f>
        <v/>
      </c>
      <c r="F8" s="27">
        <f>'Revenue Build'!F$14</f>
        <v/>
      </c>
      <c r="G8" s="27">
        <f>'Revenue Build'!G$14</f>
        <v/>
      </c>
      <c r="H8" s="27">
        <f>'Revenue Build'!H$14</f>
        <v/>
      </c>
      <c r="I8" s="27">
        <f>'Revenue Build'!I$14</f>
        <v/>
      </c>
      <c r="J8" s="27">
        <f>'Revenue Build'!J$14</f>
        <v/>
      </c>
    </row>
    <row r="9">
      <c r="A9" s="8" t="inlineStr">
        <is>
          <t>Gross profit</t>
        </is>
      </c>
      <c r="B9" s="27">
        <f>'Historical Financials'!B$8</f>
        <v/>
      </c>
      <c r="C9" s="27">
        <f>'Historical Financials'!C$8</f>
        <v/>
      </c>
      <c r="D9" s="27">
        <f>'Historical Financials'!D$8</f>
        <v/>
      </c>
      <c r="E9" s="31">
        <f>E12+(E8*'Control Panel'!$B$16)</f>
        <v/>
      </c>
      <c r="F9" s="31">
        <f>F12+(F8*'Control Panel'!$B$16)</f>
        <v/>
      </c>
      <c r="G9" s="31">
        <f>G12+(G8*'Control Panel'!$B$16)</f>
        <v/>
      </c>
      <c r="H9" s="31">
        <f>H12+(H8*'Control Panel'!$B$16)</f>
        <v/>
      </c>
      <c r="I9" s="31">
        <f>I12+(I8*'Control Panel'!$B$16)</f>
        <v/>
      </c>
      <c r="J9" s="31">
        <f>J12+(J8*'Control Panel'!$B$16)</f>
        <v/>
      </c>
    </row>
    <row r="10">
      <c r="A10" s="8" t="inlineStr">
        <is>
          <t>Gross margin</t>
        </is>
      </c>
      <c r="B10" s="29">
        <f>B9/B8</f>
        <v/>
      </c>
      <c r="C10" s="29">
        <f>C9/C8</f>
        <v/>
      </c>
      <c r="D10" s="29">
        <f>D9/D8</f>
        <v/>
      </c>
      <c r="E10" s="21">
        <f>E9/E8</f>
        <v/>
      </c>
      <c r="F10" s="21">
        <f>F9/F8</f>
        <v/>
      </c>
      <c r="G10" s="21">
        <f>G9/G8</f>
        <v/>
      </c>
      <c r="H10" s="21">
        <f>H9/H8</f>
        <v/>
      </c>
      <c r="I10" s="21">
        <f>I9/I8</f>
        <v/>
      </c>
      <c r="J10" s="21">
        <f>J9/J8</f>
        <v/>
      </c>
    </row>
    <row r="11">
      <c r="A11" s="8" t="inlineStr">
        <is>
          <t>EBITDA margin assumption</t>
        </is>
      </c>
      <c r="B11" s="29">
        <f>'Historical Financials'!B$11</f>
        <v/>
      </c>
      <c r="C11" s="29">
        <f>'Historical Financials'!C$11</f>
        <v/>
      </c>
      <c r="D11" s="29">
        <f>'Historical Financials'!D$11</f>
        <v/>
      </c>
      <c r="E11" s="29">
        <f>INDEX('Control Panel'!B$26:B$28,MATCH('Control Panel'!$B$10,'Control Panel'!$A$26:$A$28,0))</f>
        <v/>
      </c>
      <c r="F11" s="29">
        <f>INDEX('Control Panel'!C$26:C$28,MATCH('Control Panel'!$B$10,'Control Panel'!$A$26:$A$28,0))</f>
        <v/>
      </c>
      <c r="G11" s="29">
        <f>INDEX('Control Panel'!D$26:D$28,MATCH('Control Panel'!$B$10,'Control Panel'!$A$26:$A$28,0))</f>
        <v/>
      </c>
      <c r="H11" s="29">
        <f>INDEX('Control Panel'!E$26:E$28,MATCH('Control Panel'!$B$10,'Control Panel'!$A$26:$A$28,0))</f>
        <v/>
      </c>
      <c r="I11" s="29">
        <f>INDEX('Control Panel'!F$26:F$28,MATCH('Control Panel'!$B$10,'Control Panel'!$A$26:$A$28,0))</f>
        <v/>
      </c>
      <c r="J11" s="29">
        <f>INDEX('Control Panel'!G$26:G$28,MATCH('Control Panel'!$B$10,'Control Panel'!$A$26:$A$28,0))</f>
        <v/>
      </c>
    </row>
    <row r="12">
      <c r="A12" s="3" t="inlineStr">
        <is>
          <t>EBITDA</t>
        </is>
      </c>
      <c r="B12" s="27">
        <f>'Historical Financials'!B$10</f>
        <v/>
      </c>
      <c r="C12" s="27">
        <f>'Historical Financials'!C$10</f>
        <v/>
      </c>
      <c r="D12" s="27">
        <f>'Historical Financials'!D$10</f>
        <v/>
      </c>
      <c r="E12" s="9">
        <f>E8*E11</f>
        <v/>
      </c>
      <c r="F12" s="9">
        <f>F8*F11</f>
        <v/>
      </c>
      <c r="G12" s="9">
        <f>G8*G11</f>
        <v/>
      </c>
      <c r="H12" s="9">
        <f>H8*H11</f>
        <v/>
      </c>
      <c r="I12" s="9">
        <f>I8*I11</f>
        <v/>
      </c>
      <c r="J12" s="9">
        <f>J8*J11</f>
        <v/>
      </c>
    </row>
    <row r="13">
      <c r="A13" s="8" t="inlineStr">
        <is>
          <t>D&amp;A</t>
        </is>
      </c>
      <c r="B13" s="27">
        <f>'Historical Financials'!B$12</f>
        <v/>
      </c>
      <c r="C13" s="27">
        <f>'Historical Financials'!C$12</f>
        <v/>
      </c>
      <c r="D13" s="27">
        <f>'Historical Financials'!D$12</f>
        <v/>
      </c>
      <c r="E13" s="27">
        <f>'Capex D&amp;A'!E$12</f>
        <v/>
      </c>
      <c r="F13" s="27">
        <f>'Capex D&amp;A'!F$12</f>
        <v/>
      </c>
      <c r="G13" s="27">
        <f>'Capex D&amp;A'!G$12</f>
        <v/>
      </c>
      <c r="H13" s="27">
        <f>'Capex D&amp;A'!H$12</f>
        <v/>
      </c>
      <c r="I13" s="27">
        <f>'Capex D&amp;A'!I$12</f>
        <v/>
      </c>
      <c r="J13" s="27">
        <f>'Capex D&amp;A'!J$12</f>
        <v/>
      </c>
    </row>
    <row r="14">
      <c r="A14" s="8" t="inlineStr">
        <is>
          <t>D&amp;A % revenue</t>
        </is>
      </c>
      <c r="B14" s="29">
        <f>B13/B8</f>
        <v/>
      </c>
      <c r="C14" s="29">
        <f>C13/C8</f>
        <v/>
      </c>
      <c r="D14" s="29">
        <f>D13/D8</f>
        <v/>
      </c>
      <c r="E14" s="21">
        <f>E13/E8</f>
        <v/>
      </c>
      <c r="F14" s="21">
        <f>F13/F8</f>
        <v/>
      </c>
      <c r="G14" s="21">
        <f>G13/G8</f>
        <v/>
      </c>
      <c r="H14" s="21">
        <f>H13/H8</f>
        <v/>
      </c>
      <c r="I14" s="21">
        <f>I13/I8</f>
        <v/>
      </c>
      <c r="J14" s="21">
        <f>J13/J8</f>
        <v/>
      </c>
    </row>
    <row r="15">
      <c r="A15" s="3" t="inlineStr">
        <is>
          <t>EBIT</t>
        </is>
      </c>
      <c r="B15" s="27">
        <f>B12-B13</f>
        <v/>
      </c>
      <c r="C15" s="27">
        <f>C12-C13</f>
        <v/>
      </c>
      <c r="D15" s="27">
        <f>D12-D13</f>
        <v/>
      </c>
      <c r="E15" s="9">
        <f>E12-E13</f>
        <v/>
      </c>
      <c r="F15" s="9">
        <f>F12-F13</f>
        <v/>
      </c>
      <c r="G15" s="9">
        <f>G12-G13</f>
        <v/>
      </c>
      <c r="H15" s="9">
        <f>H12-H13</f>
        <v/>
      </c>
      <c r="I15" s="9">
        <f>I12-I13</f>
        <v/>
      </c>
      <c r="J15" s="9">
        <f>J12-J13</f>
        <v/>
      </c>
    </row>
    <row r="16">
      <c r="A16" s="8" t="inlineStr">
        <is>
          <t>EBIT margin</t>
        </is>
      </c>
      <c r="B16" s="29">
        <f>B15/B8</f>
        <v/>
      </c>
      <c r="C16" s="29">
        <f>C15/C8</f>
        <v/>
      </c>
      <c r="D16" s="29">
        <f>D15/D8</f>
        <v/>
      </c>
      <c r="E16" s="21">
        <f>E15/E8</f>
        <v/>
      </c>
      <c r="F16" s="21">
        <f>F15/F8</f>
        <v/>
      </c>
      <c r="G16" s="21">
        <f>G15/G8</f>
        <v/>
      </c>
      <c r="H16" s="21">
        <f>H15/H8</f>
        <v/>
      </c>
      <c r="I16" s="21">
        <f>I15/I8</f>
        <v/>
      </c>
      <c r="J16" s="21">
        <f>J15/J8</f>
        <v/>
      </c>
    </row>
    <row r="17">
      <c r="A17" s="8" t="inlineStr">
        <is>
          <t>Margin expansion / compression vs prior year</t>
        </is>
      </c>
      <c r="B17" s="33" t="inlineStr">
        <is>
          <t>-</t>
        </is>
      </c>
      <c r="C17" s="29">
        <f>C16-B16</f>
        <v/>
      </c>
      <c r="D17" s="29">
        <f>D16-C16</f>
        <v/>
      </c>
      <c r="E17" s="21">
        <f>E16-D16</f>
        <v/>
      </c>
      <c r="F17" s="21">
        <f>F16-E16</f>
        <v/>
      </c>
      <c r="G17" s="21">
        <f>G16-F16</f>
        <v/>
      </c>
      <c r="H17" s="21">
        <f>H16-G16</f>
        <v/>
      </c>
      <c r="I17" s="21">
        <f>I16-H16</f>
        <v/>
      </c>
      <c r="J17" s="21">
        <f>J16-I16</f>
        <v/>
      </c>
    </row>
    <row r="18">
      <c r="A18" s="3" t="inlineStr">
        <is>
          <t>Cash taxes</t>
        </is>
      </c>
      <c r="B18" s="27">
        <f>'Historical Financials'!B$15</f>
        <v/>
      </c>
      <c r="C18" s="27">
        <f>'Historical Financials'!C$15</f>
        <v/>
      </c>
      <c r="D18" s="27">
        <f>'Historical Financials'!D$15</f>
        <v/>
      </c>
      <c r="E18" s="34">
        <f>'Tax Schedule'!E$12</f>
        <v/>
      </c>
      <c r="F18" s="34">
        <f>'Tax Schedule'!F$12</f>
        <v/>
      </c>
      <c r="G18" s="34">
        <f>'Tax Schedule'!G$12</f>
        <v/>
      </c>
      <c r="H18" s="34">
        <f>'Tax Schedule'!H$12</f>
        <v/>
      </c>
      <c r="I18" s="34">
        <f>'Tax Schedule'!I$12</f>
        <v/>
      </c>
      <c r="J18" s="34">
        <f>'Tax Schedule'!J$12</f>
        <v/>
      </c>
    </row>
  </sheetData>
  <mergeCells count="2">
    <mergeCell ref="A1:J1"/>
    <mergeCell ref="A7:J7"/>
  </mergeCells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J1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4" customHeight="1">
      <c r="A1" s="1" t="inlineStr">
        <is>
          <t>Working Capital</t>
        </is>
      </c>
    </row>
    <row r="2"/>
    <row r="3"/>
    <row r="4"/>
    <row r="5">
      <c r="A5" s="25" t="inlineStr">
        <is>
          <t>Fiscal year</t>
        </is>
      </c>
      <c r="B5" s="26" t="inlineStr">
        <is>
          <t>2022A</t>
        </is>
      </c>
      <c r="C5" s="26" t="inlineStr">
        <is>
          <t>2023A</t>
        </is>
      </c>
      <c r="D5" s="26" t="inlineStr">
        <is>
          <t>2024A</t>
        </is>
      </c>
      <c r="E5" s="26" t="inlineStr">
        <is>
          <t>2025E</t>
        </is>
      </c>
      <c r="F5" s="26" t="inlineStr">
        <is>
          <t>2026E</t>
        </is>
      </c>
      <c r="G5" s="26" t="inlineStr">
        <is>
          <t>2027E</t>
        </is>
      </c>
      <c r="H5" s="26" t="inlineStr">
        <is>
          <t>2028E</t>
        </is>
      </c>
      <c r="I5" s="26" t="inlineStr">
        <is>
          <t>2029E</t>
        </is>
      </c>
      <c r="J5" s="26" t="inlineStr">
        <is>
          <t>2030E</t>
        </is>
      </c>
    </row>
    <row r="6"/>
    <row r="7">
      <c r="A7" s="2" t="inlineStr">
        <is>
          <t>Operating working capital</t>
        </is>
      </c>
    </row>
    <row r="8">
      <c r="A8" s="3" t="inlineStr">
        <is>
          <t>Revenue</t>
        </is>
      </c>
      <c r="B8" s="27">
        <f>'Historical Financials'!B$6</f>
        <v/>
      </c>
      <c r="C8" s="27">
        <f>'Historical Financials'!C$6</f>
        <v/>
      </c>
      <c r="D8" s="27">
        <f>'Historical Financials'!D$6</f>
        <v/>
      </c>
      <c r="E8" s="27">
        <f>'Revenue Build'!E$14</f>
        <v/>
      </c>
      <c r="F8" s="27">
        <f>'Revenue Build'!F$14</f>
        <v/>
      </c>
      <c r="G8" s="27">
        <f>'Revenue Build'!G$14</f>
        <v/>
      </c>
      <c r="H8" s="27">
        <f>'Revenue Build'!H$14</f>
        <v/>
      </c>
      <c r="I8" s="27">
        <f>'Revenue Build'!I$14</f>
        <v/>
      </c>
      <c r="J8" s="27">
        <f>'Revenue Build'!J$14</f>
        <v/>
      </c>
    </row>
    <row r="9">
      <c r="A9" s="8" t="inlineStr">
        <is>
          <t>AR % revenue</t>
        </is>
      </c>
      <c r="B9" s="21">
        <f>B10/B8</f>
        <v/>
      </c>
      <c r="C9" s="21">
        <f>C10/C8</f>
        <v/>
      </c>
      <c r="D9" s="21">
        <f>D10/D8</f>
        <v/>
      </c>
      <c r="E9" s="29">
        <f>'Control Panel'!B$61</f>
        <v/>
      </c>
      <c r="F9" s="29">
        <f>'Control Panel'!C$61</f>
        <v/>
      </c>
      <c r="G9" s="29">
        <f>'Control Panel'!D$61</f>
        <v/>
      </c>
      <c r="H9" s="29">
        <f>'Control Panel'!E$61</f>
        <v/>
      </c>
      <c r="I9" s="29">
        <f>'Control Panel'!F$61</f>
        <v/>
      </c>
      <c r="J9" s="29">
        <f>'Control Panel'!G$61</f>
        <v/>
      </c>
    </row>
    <row r="10">
      <c r="A10" s="8" t="inlineStr">
        <is>
          <t>Accounts receivable</t>
        </is>
      </c>
      <c r="B10" s="31">
        <f>B8*0.140</f>
        <v/>
      </c>
      <c r="C10" s="31">
        <f>C8*0.140</f>
        <v/>
      </c>
      <c r="D10" s="31">
        <f>D8*0.140</f>
        <v/>
      </c>
      <c r="E10" s="31">
        <f>E8*E9</f>
        <v/>
      </c>
      <c r="F10" s="31">
        <f>F8*F9</f>
        <v/>
      </c>
      <c r="G10" s="31">
        <f>G8*G9</f>
        <v/>
      </c>
      <c r="H10" s="31">
        <f>H8*H9</f>
        <v/>
      </c>
      <c r="I10" s="31">
        <f>I8*I9</f>
        <v/>
      </c>
      <c r="J10" s="31">
        <f>J8*J9</f>
        <v/>
      </c>
    </row>
    <row r="11">
      <c r="A11" s="8" t="inlineStr">
        <is>
          <t>Inventory % revenue</t>
        </is>
      </c>
      <c r="B11" s="21">
        <f>B12/B8</f>
        <v/>
      </c>
      <c r="C11" s="21">
        <f>C12/C8</f>
        <v/>
      </c>
      <c r="D11" s="21">
        <f>D12/D8</f>
        <v/>
      </c>
      <c r="E11" s="29">
        <f>'Control Panel'!B$62</f>
        <v/>
      </c>
      <c r="F11" s="29">
        <f>'Control Panel'!C$62</f>
        <v/>
      </c>
      <c r="G11" s="29">
        <f>'Control Panel'!D$62</f>
        <v/>
      </c>
      <c r="H11" s="29">
        <f>'Control Panel'!E$62</f>
        <v/>
      </c>
      <c r="I11" s="29">
        <f>'Control Panel'!F$62</f>
        <v/>
      </c>
      <c r="J11" s="29">
        <f>'Control Panel'!G$62</f>
        <v/>
      </c>
    </row>
    <row r="12">
      <c r="A12" s="8" t="inlineStr">
        <is>
          <t>Inventory</t>
        </is>
      </c>
      <c r="B12" s="31">
        <f>B8*0.060</f>
        <v/>
      </c>
      <c r="C12" s="31">
        <f>C8*0.060</f>
        <v/>
      </c>
      <c r="D12" s="31">
        <f>D8*0.060</f>
        <v/>
      </c>
      <c r="E12" s="31">
        <f>E8*E11</f>
        <v/>
      </c>
      <c r="F12" s="31">
        <f>F8*F11</f>
        <v/>
      </c>
      <c r="G12" s="31">
        <f>G8*G11</f>
        <v/>
      </c>
      <c r="H12" s="31">
        <f>H8*H11</f>
        <v/>
      </c>
      <c r="I12" s="31">
        <f>I8*I11</f>
        <v/>
      </c>
      <c r="J12" s="31">
        <f>J8*J11</f>
        <v/>
      </c>
    </row>
    <row r="13">
      <c r="A13" s="8" t="inlineStr">
        <is>
          <t>AP % revenue</t>
        </is>
      </c>
      <c r="B13" s="21">
        <f>B14/B8</f>
        <v/>
      </c>
      <c r="C13" s="21">
        <f>C14/C8</f>
        <v/>
      </c>
      <c r="D13" s="21">
        <f>D14/D8</f>
        <v/>
      </c>
      <c r="E13" s="29">
        <f>'Control Panel'!B$63</f>
        <v/>
      </c>
      <c r="F13" s="29">
        <f>'Control Panel'!C$63</f>
        <v/>
      </c>
      <c r="G13" s="29">
        <f>'Control Panel'!D$63</f>
        <v/>
      </c>
      <c r="H13" s="29">
        <f>'Control Panel'!E$63</f>
        <v/>
      </c>
      <c r="I13" s="29">
        <f>'Control Panel'!F$63</f>
        <v/>
      </c>
      <c r="J13" s="29">
        <f>'Control Panel'!G$63</f>
        <v/>
      </c>
    </row>
    <row r="14">
      <c r="A14" s="8" t="inlineStr">
        <is>
          <t>Accounts payable</t>
        </is>
      </c>
      <c r="B14" s="31">
        <f>B8*0.085</f>
        <v/>
      </c>
      <c r="C14" s="31">
        <f>C8*0.085</f>
        <v/>
      </c>
      <c r="D14" s="31">
        <f>D8*0.085</f>
        <v/>
      </c>
      <c r="E14" s="31">
        <f>E8*E13</f>
        <v/>
      </c>
      <c r="F14" s="31">
        <f>F8*F13</f>
        <v/>
      </c>
      <c r="G14" s="31">
        <f>G8*G13</f>
        <v/>
      </c>
      <c r="H14" s="31">
        <f>H8*H13</f>
        <v/>
      </c>
      <c r="I14" s="31">
        <f>I8*I13</f>
        <v/>
      </c>
      <c r="J14" s="31">
        <f>J8*J13</f>
        <v/>
      </c>
    </row>
    <row r="15">
      <c r="A15" s="8" t="inlineStr">
        <is>
          <t>Other current assets / liabilities net</t>
        </is>
      </c>
      <c r="B15" s="31">
        <f>B8*0.000</f>
        <v/>
      </c>
      <c r="C15" s="31">
        <f>C8*0.000</f>
        <v/>
      </c>
      <c r="D15" s="31">
        <f>D8*0.000</f>
        <v/>
      </c>
      <c r="E15" s="31">
        <f>E8*('Control Panel'!B$64-'Control Panel'!B$65)</f>
        <v/>
      </c>
      <c r="F15" s="31">
        <f>F8*('Control Panel'!C$64-'Control Panel'!C$65)</f>
        <v/>
      </c>
      <c r="G15" s="31">
        <f>G8*('Control Panel'!D$64-'Control Panel'!D$65)</f>
        <v/>
      </c>
      <c r="H15" s="31">
        <f>H8*('Control Panel'!E$64-'Control Panel'!E$65)</f>
        <v/>
      </c>
      <c r="I15" s="31">
        <f>I8*('Control Panel'!F$64-'Control Panel'!F$65)</f>
        <v/>
      </c>
      <c r="J15" s="31">
        <f>J8*('Control Panel'!G$64-'Control Panel'!G$65)</f>
        <v/>
      </c>
    </row>
    <row r="16">
      <c r="A16" s="3" t="inlineStr">
        <is>
          <t>Operating NWC</t>
        </is>
      </c>
      <c r="B16" s="27">
        <f>'Historical Financials'!B$18</f>
        <v/>
      </c>
      <c r="C16" s="27">
        <f>'Historical Financials'!C$18</f>
        <v/>
      </c>
      <c r="D16" s="27">
        <f>'Historical Financials'!D$18</f>
        <v/>
      </c>
      <c r="E16" s="9">
        <f>E10+E12-E14+E15</f>
        <v/>
      </c>
      <c r="F16" s="9">
        <f>F10+F12-F14+F15</f>
        <v/>
      </c>
      <c r="G16" s="9">
        <f>G10+G12-G14+G15</f>
        <v/>
      </c>
      <c r="H16" s="9">
        <f>H10+H12-H14+H15</f>
        <v/>
      </c>
      <c r="I16" s="9">
        <f>I10+I12-I14+I15</f>
        <v/>
      </c>
      <c r="J16" s="9">
        <f>J10+J12-J14+J15</f>
        <v/>
      </c>
    </row>
    <row r="17">
      <c r="A17" s="3" t="inlineStr">
        <is>
          <t>Change in NWC</t>
        </is>
      </c>
      <c r="B17" s="31" t="n">
        <v>0</v>
      </c>
      <c r="C17" s="31">
        <f>C16-B16</f>
        <v/>
      </c>
      <c r="D17" s="31">
        <f>D16-C16</f>
        <v/>
      </c>
      <c r="E17" s="9">
        <f>E16-D16</f>
        <v/>
      </c>
      <c r="F17" s="9">
        <f>F16-E16</f>
        <v/>
      </c>
      <c r="G17" s="9">
        <f>G16-F16</f>
        <v/>
      </c>
      <c r="H17" s="9">
        <f>H16-G16</f>
        <v/>
      </c>
      <c r="I17" s="9">
        <f>I16-H16</f>
        <v/>
      </c>
      <c r="J17" s="9">
        <f>J16-I16</f>
        <v/>
      </c>
    </row>
    <row r="18">
      <c r="A18" s="8" t="inlineStr">
        <is>
          <t>NWC % revenue</t>
        </is>
      </c>
      <c r="B18" s="21">
        <f>B16/B8</f>
        <v/>
      </c>
      <c r="C18" s="21">
        <f>C16/C8</f>
        <v/>
      </c>
      <c r="D18" s="21">
        <f>D16/D8</f>
        <v/>
      </c>
      <c r="E18" s="21">
        <f>E16/E8</f>
        <v/>
      </c>
      <c r="F18" s="21">
        <f>F16/F8</f>
        <v/>
      </c>
      <c r="G18" s="21">
        <f>G16/G8</f>
        <v/>
      </c>
      <c r="H18" s="21">
        <f>H16/H8</f>
        <v/>
      </c>
      <c r="I18" s="21">
        <f>I16/I8</f>
        <v/>
      </c>
      <c r="J18" s="21">
        <f>J16/J8</f>
        <v/>
      </c>
    </row>
    <row r="19">
      <c r="A19" s="3" t="inlineStr">
        <is>
          <t>Cash flow impact of NWC</t>
        </is>
      </c>
      <c r="B19" s="31">
        <f>-B17</f>
        <v/>
      </c>
      <c r="C19" s="31">
        <f>-C17</f>
        <v/>
      </c>
      <c r="D19" s="31">
        <f>-D17</f>
        <v/>
      </c>
      <c r="E19" s="9">
        <f>-E17</f>
        <v/>
      </c>
      <c r="F19" s="9">
        <f>-F17</f>
        <v/>
      </c>
      <c r="G19" s="9">
        <f>-G17</f>
        <v/>
      </c>
      <c r="H19" s="9">
        <f>-H17</f>
        <v/>
      </c>
      <c r="I19" s="9">
        <f>-I17</f>
        <v/>
      </c>
      <c r="J19" s="9">
        <f>-J17</f>
        <v/>
      </c>
    </row>
  </sheetData>
  <mergeCells count="2">
    <mergeCell ref="A1:J1"/>
    <mergeCell ref="A7:J7"/>
  </mergeCells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J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4" customHeight="1">
      <c r="A1" s="1" t="inlineStr">
        <is>
          <t>Capex and D&amp;A</t>
        </is>
      </c>
    </row>
    <row r="2"/>
    <row r="3"/>
    <row r="4"/>
    <row r="5">
      <c r="A5" s="25" t="inlineStr">
        <is>
          <t>Fiscal year</t>
        </is>
      </c>
      <c r="B5" s="26" t="inlineStr">
        <is>
          <t>2022A</t>
        </is>
      </c>
      <c r="C5" s="26" t="inlineStr">
        <is>
          <t>2023A</t>
        </is>
      </c>
      <c r="D5" s="26" t="inlineStr">
        <is>
          <t>2024A</t>
        </is>
      </c>
      <c r="E5" s="26" t="inlineStr">
        <is>
          <t>2025E</t>
        </is>
      </c>
      <c r="F5" s="26" t="inlineStr">
        <is>
          <t>2026E</t>
        </is>
      </c>
      <c r="G5" s="26" t="inlineStr">
        <is>
          <t>2027E</t>
        </is>
      </c>
      <c r="H5" s="26" t="inlineStr">
        <is>
          <t>2028E</t>
        </is>
      </c>
      <c r="I5" s="26" t="inlineStr">
        <is>
          <t>2029E</t>
        </is>
      </c>
      <c r="J5" s="26" t="inlineStr">
        <is>
          <t>2030E</t>
        </is>
      </c>
    </row>
    <row r="6"/>
    <row r="7">
      <c r="A7" s="2" t="inlineStr">
        <is>
          <t>Capital expenditure and depreciation schedule</t>
        </is>
      </c>
    </row>
    <row r="8">
      <c r="A8" s="3" t="inlineStr">
        <is>
          <t>Revenue</t>
        </is>
      </c>
      <c r="B8" s="27">
        <f>'Historical Financials'!B$6</f>
        <v/>
      </c>
      <c r="C8" s="27">
        <f>'Historical Financials'!C$6</f>
        <v/>
      </c>
      <c r="D8" s="27">
        <f>'Historical Financials'!D$6</f>
        <v/>
      </c>
      <c r="E8" s="27">
        <f>'Revenue Build'!E$14</f>
        <v/>
      </c>
      <c r="F8" s="27">
        <f>'Revenue Build'!F$14</f>
        <v/>
      </c>
      <c r="G8" s="27">
        <f>'Revenue Build'!G$14</f>
        <v/>
      </c>
      <c r="H8" s="27">
        <f>'Revenue Build'!H$14</f>
        <v/>
      </c>
      <c r="I8" s="27">
        <f>'Revenue Build'!I$14</f>
        <v/>
      </c>
      <c r="J8" s="27">
        <f>'Revenue Build'!J$14</f>
        <v/>
      </c>
    </row>
    <row r="9">
      <c r="A9" s="3" t="inlineStr">
        <is>
          <t>Capex</t>
        </is>
      </c>
      <c r="B9" s="27">
        <f>'Historical Financials'!B$17</f>
        <v/>
      </c>
      <c r="C9" s="27">
        <f>'Historical Financials'!C$17</f>
        <v/>
      </c>
      <c r="D9" s="27">
        <f>'Historical Financials'!D$17</f>
        <v/>
      </c>
      <c r="E9" s="9">
        <f>E8*E10</f>
        <v/>
      </c>
      <c r="F9" s="9">
        <f>F8*F10</f>
        <v/>
      </c>
      <c r="G9" s="9">
        <f>G8*G10</f>
        <v/>
      </c>
      <c r="H9" s="9">
        <f>H8*H10</f>
        <v/>
      </c>
      <c r="I9" s="9">
        <f>I8*I10</f>
        <v/>
      </c>
      <c r="J9" s="9">
        <f>J8*J10</f>
        <v/>
      </c>
    </row>
    <row r="10">
      <c r="A10" s="8" t="inlineStr">
        <is>
          <t>Capex % revenue</t>
        </is>
      </c>
      <c r="B10" s="21">
        <f>B9/B8</f>
        <v/>
      </c>
      <c r="C10" s="21">
        <f>C9/C8</f>
        <v/>
      </c>
      <c r="D10" s="21">
        <f>D9/D8</f>
        <v/>
      </c>
      <c r="E10" s="29">
        <f>INDEX('Control Panel'!B$41:B$43,MATCH('Control Panel'!$B$10,'Control Panel'!$A$41:$A$43,0))</f>
        <v/>
      </c>
      <c r="F10" s="29">
        <f>INDEX('Control Panel'!C$41:C$43,MATCH('Control Panel'!$B$10,'Control Panel'!$A$41:$A$43,0))</f>
        <v/>
      </c>
      <c r="G10" s="29">
        <f>INDEX('Control Panel'!D$41:D$43,MATCH('Control Panel'!$B$10,'Control Panel'!$A$41:$A$43,0))</f>
        <v/>
      </c>
      <c r="H10" s="29">
        <f>INDEX('Control Panel'!E$41:E$43,MATCH('Control Panel'!$B$10,'Control Panel'!$A$41:$A$43,0))</f>
        <v/>
      </c>
      <c r="I10" s="29">
        <f>INDEX('Control Panel'!F$41:F$43,MATCH('Control Panel'!$B$10,'Control Panel'!$A$41:$A$43,0))</f>
        <v/>
      </c>
      <c r="J10" s="29">
        <f>INDEX('Control Panel'!G$41:G$43,MATCH('Control Panel'!$B$10,'Control Panel'!$A$41:$A$43,0))</f>
        <v/>
      </c>
    </row>
    <row r="11">
      <c r="A11" s="8" t="inlineStr">
        <is>
          <t>Beginning PP&amp;E</t>
        </is>
      </c>
      <c r="B11" s="31" t="n">
        <v>397</v>
      </c>
      <c r="C11" s="31">
        <f>B13</f>
        <v/>
      </c>
      <c r="D11" s="31">
        <f>C13</f>
        <v/>
      </c>
      <c r="E11" s="31">
        <f>D13</f>
        <v/>
      </c>
      <c r="F11" s="31">
        <f>E13</f>
        <v/>
      </c>
      <c r="G11" s="31">
        <f>F13</f>
        <v/>
      </c>
      <c r="H11" s="31">
        <f>G13</f>
        <v/>
      </c>
      <c r="I11" s="31">
        <f>H13</f>
        <v/>
      </c>
      <c r="J11" s="31">
        <f>I13</f>
        <v/>
      </c>
    </row>
    <row r="12">
      <c r="A12" s="3" t="inlineStr">
        <is>
          <t>D&amp;A</t>
        </is>
      </c>
      <c r="B12" s="27">
        <f>'Historical Financials'!B$12</f>
        <v/>
      </c>
      <c r="C12" s="27">
        <f>'Historical Financials'!C$12</f>
        <v/>
      </c>
      <c r="D12" s="27">
        <f>'Historical Financials'!D$12</f>
        <v/>
      </c>
      <c r="E12" s="9">
        <f>E8*E14</f>
        <v/>
      </c>
      <c r="F12" s="9">
        <f>F8*F14</f>
        <v/>
      </c>
      <c r="G12" s="9">
        <f>G8*G14</f>
        <v/>
      </c>
      <c r="H12" s="9">
        <f>H8*H14</f>
        <v/>
      </c>
      <c r="I12" s="9">
        <f>I8*I14</f>
        <v/>
      </c>
      <c r="J12" s="9">
        <f>J8*J14</f>
        <v/>
      </c>
    </row>
    <row r="13">
      <c r="A13" s="3" t="inlineStr">
        <is>
          <t>Ending PP&amp;E</t>
        </is>
      </c>
      <c r="B13" s="31">
        <f>B11+B9-B12</f>
        <v/>
      </c>
      <c r="C13" s="31">
        <f>C11+C9-C12</f>
        <v/>
      </c>
      <c r="D13" s="31">
        <f>D11+D9-D12</f>
        <v/>
      </c>
      <c r="E13" s="9">
        <f>E11+E9-E12</f>
        <v/>
      </c>
      <c r="F13" s="9">
        <f>F11+F9-F12</f>
        <v/>
      </c>
      <c r="G13" s="9">
        <f>G11+G9-G12</f>
        <v/>
      </c>
      <c r="H13" s="9">
        <f>H11+H9-H12</f>
        <v/>
      </c>
      <c r="I13" s="9">
        <f>I11+I9-I12</f>
        <v/>
      </c>
      <c r="J13" s="9">
        <f>J11+J9-J12</f>
        <v/>
      </c>
    </row>
    <row r="14">
      <c r="A14" s="8" t="inlineStr">
        <is>
          <t>D&amp;A % revenue</t>
        </is>
      </c>
      <c r="B14" s="21">
        <f>B12/B8</f>
        <v/>
      </c>
      <c r="C14" s="21">
        <f>C12/C8</f>
        <v/>
      </c>
      <c r="D14" s="21">
        <f>D12/D8</f>
        <v/>
      </c>
      <c r="E14" s="29">
        <f>INDEX('Control Panel'!B$36:B$38,MATCH('Control Panel'!$B$10,'Control Panel'!$A$36:$A$38,0))</f>
        <v/>
      </c>
      <c r="F14" s="29">
        <f>INDEX('Control Panel'!C$36:C$38,MATCH('Control Panel'!$B$10,'Control Panel'!$A$36:$A$38,0))</f>
        <v/>
      </c>
      <c r="G14" s="29">
        <f>INDEX('Control Panel'!D$36:D$38,MATCH('Control Panel'!$B$10,'Control Panel'!$A$36:$A$38,0))</f>
        <v/>
      </c>
      <c r="H14" s="29">
        <f>INDEX('Control Panel'!E$36:E$38,MATCH('Control Panel'!$B$10,'Control Panel'!$A$36:$A$38,0))</f>
        <v/>
      </c>
      <c r="I14" s="29">
        <f>INDEX('Control Panel'!F$36:F$38,MATCH('Control Panel'!$B$10,'Control Panel'!$A$36:$A$38,0))</f>
        <v/>
      </c>
      <c r="J14" s="29">
        <f>INDEX('Control Panel'!G$36:G$38,MATCH('Control Panel'!$B$10,'Control Panel'!$A$36:$A$38,0))</f>
        <v/>
      </c>
    </row>
    <row r="15">
      <c r="A15" s="8" t="inlineStr">
        <is>
          <t>D&amp;A % beginning PP&amp;E</t>
        </is>
      </c>
      <c r="B15" s="21">
        <f>B12/B11</f>
        <v/>
      </c>
      <c r="C15" s="21">
        <f>C12/C11</f>
        <v/>
      </c>
      <c r="D15" s="21">
        <f>D12/D11</f>
        <v/>
      </c>
      <c r="E15" s="21">
        <f>E12/E11</f>
        <v/>
      </c>
      <c r="F15" s="21">
        <f>F12/F11</f>
        <v/>
      </c>
      <c r="G15" s="21">
        <f>G12/G11</f>
        <v/>
      </c>
      <c r="H15" s="21">
        <f>H12/H11</f>
        <v/>
      </c>
      <c r="I15" s="21">
        <f>I12/I11</f>
        <v/>
      </c>
      <c r="J15" s="21">
        <f>J12/J11</f>
        <v/>
      </c>
    </row>
  </sheetData>
  <mergeCells count="2">
    <mergeCell ref="A1:J1"/>
    <mergeCell ref="A7:J7"/>
  </mergeCells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J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4" customHeight="1">
      <c r="A1" s="1" t="inlineStr">
        <is>
          <t>Tax Schedule</t>
        </is>
      </c>
    </row>
    <row r="2"/>
    <row r="3"/>
    <row r="4"/>
    <row r="5">
      <c r="A5" s="25" t="inlineStr">
        <is>
          <t>Fiscal year</t>
        </is>
      </c>
      <c r="B5" s="26" t="inlineStr">
        <is>
          <t>2022A</t>
        </is>
      </c>
      <c r="C5" s="26" t="inlineStr">
        <is>
          <t>2023A</t>
        </is>
      </c>
      <c r="D5" s="26" t="inlineStr">
        <is>
          <t>2024A</t>
        </is>
      </c>
      <c r="E5" s="26" t="inlineStr">
        <is>
          <t>2025E</t>
        </is>
      </c>
      <c r="F5" s="26" t="inlineStr">
        <is>
          <t>2026E</t>
        </is>
      </c>
      <c r="G5" s="26" t="inlineStr">
        <is>
          <t>2027E</t>
        </is>
      </c>
      <c r="H5" s="26" t="inlineStr">
        <is>
          <t>2028E</t>
        </is>
      </c>
      <c r="I5" s="26" t="inlineStr">
        <is>
          <t>2029E</t>
        </is>
      </c>
      <c r="J5" s="26" t="inlineStr">
        <is>
          <t>2030E</t>
        </is>
      </c>
    </row>
    <row r="6"/>
    <row r="7">
      <c r="A7" s="2" t="inlineStr">
        <is>
          <t>Book and cash tax calculation</t>
        </is>
      </c>
    </row>
    <row r="8">
      <c r="A8" s="3" t="inlineStr">
        <is>
          <t>EBIT</t>
        </is>
      </c>
      <c r="B8" s="27">
        <f>'Historical Financials'!B$13</f>
        <v/>
      </c>
      <c r="C8" s="27">
        <f>'Historical Financials'!C$13</f>
        <v/>
      </c>
      <c r="D8" s="27">
        <f>'Historical Financials'!D$13</f>
        <v/>
      </c>
      <c r="E8" s="27">
        <f>'Margin Cost Build'!E$15</f>
        <v/>
      </c>
      <c r="F8" s="27">
        <f>'Margin Cost Build'!F$15</f>
        <v/>
      </c>
      <c r="G8" s="27">
        <f>'Margin Cost Build'!G$15</f>
        <v/>
      </c>
      <c r="H8" s="27">
        <f>'Margin Cost Build'!H$15</f>
        <v/>
      </c>
      <c r="I8" s="27">
        <f>'Margin Cost Build'!I$15</f>
        <v/>
      </c>
      <c r="J8" s="27">
        <f>'Margin Cost Build'!J$15</f>
        <v/>
      </c>
    </row>
    <row r="9">
      <c r="A9" s="8" t="inlineStr">
        <is>
          <t>Statutory tax rate</t>
        </is>
      </c>
      <c r="B9" s="21">
        <f>'Historical Financials'!B$15/B8</f>
        <v/>
      </c>
      <c r="C9" s="21">
        <f>'Historical Financials'!C$15/C8</f>
        <v/>
      </c>
      <c r="D9" s="21">
        <f>'Historical Financials'!D$15/D8</f>
        <v/>
      </c>
      <c r="E9" s="29">
        <f>INDEX('Control Panel'!B$51:B$53,MATCH('Control Panel'!$B$10,'Control Panel'!$A$51:$A$53,0))</f>
        <v/>
      </c>
      <c r="F9" s="29">
        <f>INDEX('Control Panel'!C$51:C$53,MATCH('Control Panel'!$B$10,'Control Panel'!$A$51:$A$53,0))</f>
        <v/>
      </c>
      <c r="G9" s="29">
        <f>INDEX('Control Panel'!D$51:D$53,MATCH('Control Panel'!$B$10,'Control Panel'!$A$51:$A$53,0))</f>
        <v/>
      </c>
      <c r="H9" s="29">
        <f>INDEX('Control Panel'!E$51:E$53,MATCH('Control Panel'!$B$10,'Control Panel'!$A$51:$A$53,0))</f>
        <v/>
      </c>
      <c r="I9" s="29">
        <f>INDEX('Control Panel'!F$51:F$53,MATCH('Control Panel'!$B$10,'Control Panel'!$A$51:$A$53,0))</f>
        <v/>
      </c>
      <c r="J9" s="29">
        <f>INDEX('Control Panel'!G$51:G$53,MATCH('Control Panel'!$B$10,'Control Panel'!$A$51:$A$53,0))</f>
        <v/>
      </c>
    </row>
    <row r="10">
      <c r="A10" s="8" t="inlineStr">
        <is>
          <t>Cash tax rate</t>
        </is>
      </c>
      <c r="B10" s="21">
        <f>B9</f>
        <v/>
      </c>
      <c r="C10" s="21">
        <f>C9</f>
        <v/>
      </c>
      <c r="D10" s="21">
        <f>D9</f>
        <v/>
      </c>
      <c r="E10" s="29">
        <f>INDEX('Control Panel'!B$56:B$58,MATCH('Control Panel'!$B$10,'Control Panel'!$A$56:$A$58,0))</f>
        <v/>
      </c>
      <c r="F10" s="29">
        <f>INDEX('Control Panel'!C$56:C$58,MATCH('Control Panel'!$B$10,'Control Panel'!$A$56:$A$58,0))</f>
        <v/>
      </c>
      <c r="G10" s="29">
        <f>INDEX('Control Panel'!D$56:D$58,MATCH('Control Panel'!$B$10,'Control Panel'!$A$56:$A$58,0))</f>
        <v/>
      </c>
      <c r="H10" s="29">
        <f>INDEX('Control Panel'!E$56:E$58,MATCH('Control Panel'!$B$10,'Control Panel'!$A$56:$A$58,0))</f>
        <v/>
      </c>
      <c r="I10" s="29">
        <f>INDEX('Control Panel'!F$56:F$58,MATCH('Control Panel'!$B$10,'Control Panel'!$A$56:$A$58,0))</f>
        <v/>
      </c>
      <c r="J10" s="29">
        <f>INDEX('Control Panel'!G$56:G$58,MATCH('Control Panel'!$B$10,'Control Panel'!$A$56:$A$58,0))</f>
        <v/>
      </c>
    </row>
    <row r="11">
      <c r="A11" s="8" t="inlineStr">
        <is>
          <t>NOL usage placeholder</t>
        </is>
      </c>
      <c r="B11" s="23" t="n">
        <v>0</v>
      </c>
      <c r="C11" s="23" t="n">
        <v>0</v>
      </c>
      <c r="D11" s="23" t="n">
        <v>0</v>
      </c>
      <c r="E11" s="23" t="n">
        <v>0</v>
      </c>
      <c r="F11" s="23" t="n">
        <v>0</v>
      </c>
      <c r="G11" s="23" t="n">
        <v>0</v>
      </c>
      <c r="H11" s="23" t="n">
        <v>0</v>
      </c>
      <c r="I11" s="23" t="n">
        <v>0</v>
      </c>
      <c r="J11" s="23" t="n">
        <v>0</v>
      </c>
    </row>
    <row r="12">
      <c r="A12" s="3" t="inlineStr">
        <is>
          <t>Cash taxes</t>
        </is>
      </c>
      <c r="B12" s="27">
        <f>'Historical Financials'!B$15</f>
        <v/>
      </c>
      <c r="C12" s="27">
        <f>'Historical Financials'!C$15</f>
        <v/>
      </c>
      <c r="D12" s="27">
        <f>'Historical Financials'!D$15</f>
        <v/>
      </c>
      <c r="E12" s="9">
        <f>MAX(0,E8*E10-E11)</f>
        <v/>
      </c>
      <c r="F12" s="9">
        <f>MAX(0,F8*F10-F11)</f>
        <v/>
      </c>
      <c r="G12" s="9">
        <f>MAX(0,G8*G10-G11)</f>
        <v/>
      </c>
      <c r="H12" s="9">
        <f>MAX(0,H8*H10-H11)</f>
        <v/>
      </c>
      <c r="I12" s="9">
        <f>MAX(0,I8*I10-I11)</f>
        <v/>
      </c>
      <c r="J12" s="9">
        <f>MAX(0,J8*J10-J11)</f>
        <v/>
      </c>
    </row>
    <row r="13">
      <c r="A13" s="8" t="inlineStr">
        <is>
          <t>Deferred tax placeholder</t>
        </is>
      </c>
      <c r="B13" s="23" t="n">
        <v>0</v>
      </c>
      <c r="C13" s="23" t="n">
        <v>0</v>
      </c>
      <c r="D13" s="23" t="n">
        <v>0</v>
      </c>
      <c r="E13" s="9">
        <f>E8*E9-E12</f>
        <v/>
      </c>
      <c r="F13" s="9">
        <f>F8*F9-F12</f>
        <v/>
      </c>
      <c r="G13" s="9">
        <f>G8*G9-G12</f>
        <v/>
      </c>
      <c r="H13" s="9">
        <f>H8*H9-H12</f>
        <v/>
      </c>
      <c r="I13" s="9">
        <f>I8*I9-I12</f>
        <v/>
      </c>
      <c r="J13" s="9">
        <f>J8*J9-J12</f>
        <v/>
      </c>
    </row>
    <row r="14">
      <c r="A14" s="35" t="inlineStr">
        <is>
          <t>Tax warning / simplified treatment</t>
        </is>
      </c>
      <c r="B14" s="5" t="inlineStr">
        <is>
          <t>Replace placeholder NOL/deferred tax logic where material</t>
        </is>
      </c>
      <c r="C14" s="5" t="inlineStr">
        <is>
          <t>Replace placeholder NOL/deferred tax logic where material</t>
        </is>
      </c>
      <c r="D14" s="5" t="inlineStr">
        <is>
          <t>Replace placeholder NOL/deferred tax logic where material</t>
        </is>
      </c>
      <c r="E14" s="5" t="inlineStr">
        <is>
          <t>Simplified cash tax schedule; add NOL detail if material</t>
        </is>
      </c>
      <c r="F14" s="5" t="inlineStr">
        <is>
          <t>Simplified cash tax schedule; add NOL detail if material</t>
        </is>
      </c>
      <c r="G14" s="5" t="inlineStr">
        <is>
          <t>Simplified cash tax schedule; add NOL detail if material</t>
        </is>
      </c>
      <c r="H14" s="5" t="inlineStr">
        <is>
          <t>Simplified cash tax schedule; add NOL detail if material</t>
        </is>
      </c>
      <c r="I14" s="5" t="inlineStr">
        <is>
          <t>Simplified cash tax schedule; add NOL detail if material</t>
        </is>
      </c>
      <c r="J14" s="5" t="inlineStr">
        <is>
          <t>Simplified cash tax schedule; add NOL detail if material</t>
        </is>
      </c>
    </row>
  </sheetData>
  <mergeCells count="2">
    <mergeCell ref="A1:J1"/>
    <mergeCell ref="A7:J7"/>
  </mergeCells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J1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 ht="24" customHeight="1">
      <c r="A1" s="1" t="inlineStr">
        <is>
          <t>Unlevered Free Cash Flow</t>
        </is>
      </c>
    </row>
    <row r="2"/>
    <row r="3"/>
    <row r="4"/>
    <row r="5">
      <c r="A5" s="25" t="inlineStr">
        <is>
          <t>Fiscal year</t>
        </is>
      </c>
      <c r="B5" s="26" t="inlineStr">
        <is>
          <t>2022A</t>
        </is>
      </c>
      <c r="C5" s="26" t="inlineStr">
        <is>
          <t>2023A</t>
        </is>
      </c>
      <c r="D5" s="26" t="inlineStr">
        <is>
          <t>2024A</t>
        </is>
      </c>
      <c r="E5" s="26" t="inlineStr">
        <is>
          <t>2025E</t>
        </is>
      </c>
      <c r="F5" s="26" t="inlineStr">
        <is>
          <t>2026E</t>
        </is>
      </c>
      <c r="G5" s="26" t="inlineStr">
        <is>
          <t>2027E</t>
        </is>
      </c>
      <c r="H5" s="26" t="inlineStr">
        <is>
          <t>2028E</t>
        </is>
      </c>
      <c r="I5" s="26" t="inlineStr">
        <is>
          <t>2029E</t>
        </is>
      </c>
      <c r="J5" s="26" t="inlineStr">
        <is>
          <t>2030E</t>
        </is>
      </c>
    </row>
    <row r="6"/>
    <row r="7">
      <c r="A7" s="2" t="inlineStr">
        <is>
          <t>Core DCF cash flows</t>
        </is>
      </c>
    </row>
    <row r="8">
      <c r="A8" s="8" t="inlineStr">
        <is>
          <t>EBIT</t>
        </is>
      </c>
      <c r="B8" s="27">
        <f>'Historical Financials'!B$13</f>
        <v/>
      </c>
      <c r="C8" s="27">
        <f>'Historical Financials'!C$13</f>
        <v/>
      </c>
      <c r="D8" s="27">
        <f>'Historical Financials'!D$13</f>
        <v/>
      </c>
      <c r="E8" s="27">
        <f>'Margin Cost Build'!E$15</f>
        <v/>
      </c>
      <c r="F8" s="27">
        <f>'Margin Cost Build'!F$15</f>
        <v/>
      </c>
      <c r="G8" s="27">
        <f>'Margin Cost Build'!G$15</f>
        <v/>
      </c>
      <c r="H8" s="27">
        <f>'Margin Cost Build'!H$15</f>
        <v/>
      </c>
      <c r="I8" s="27">
        <f>'Margin Cost Build'!I$15</f>
        <v/>
      </c>
      <c r="J8" s="27">
        <f>'Margin Cost Build'!J$15</f>
        <v/>
      </c>
    </row>
    <row r="9">
      <c r="A9" s="8" t="inlineStr">
        <is>
          <t>Less: cash taxes</t>
        </is>
      </c>
      <c r="B9" s="27">
        <f>'Historical Financials'!B$15</f>
        <v/>
      </c>
      <c r="C9" s="27">
        <f>'Historical Financials'!C$15</f>
        <v/>
      </c>
      <c r="D9" s="27">
        <f>'Historical Financials'!D$15</f>
        <v/>
      </c>
      <c r="E9" s="27">
        <f>'Tax Schedule'!E$12</f>
        <v/>
      </c>
      <c r="F9" s="27">
        <f>'Tax Schedule'!F$12</f>
        <v/>
      </c>
      <c r="G9" s="27">
        <f>'Tax Schedule'!G$12</f>
        <v/>
      </c>
      <c r="H9" s="27">
        <f>'Tax Schedule'!H$12</f>
        <v/>
      </c>
      <c r="I9" s="27">
        <f>'Tax Schedule'!I$12</f>
        <v/>
      </c>
      <c r="J9" s="27">
        <f>'Tax Schedule'!J$12</f>
        <v/>
      </c>
    </row>
    <row r="10">
      <c r="A10" s="3" t="inlineStr">
        <is>
          <t>NOPAT</t>
        </is>
      </c>
      <c r="B10" s="31">
        <f>B8-B9</f>
        <v/>
      </c>
      <c r="C10" s="31">
        <f>C8-C9</f>
        <v/>
      </c>
      <c r="D10" s="31">
        <f>D8-D9</f>
        <v/>
      </c>
      <c r="E10" s="31">
        <f>E8-E9</f>
        <v/>
      </c>
      <c r="F10" s="31">
        <f>F8-F9</f>
        <v/>
      </c>
      <c r="G10" s="31">
        <f>G8-G9</f>
        <v/>
      </c>
      <c r="H10" s="31">
        <f>H8-H9</f>
        <v/>
      </c>
      <c r="I10" s="31">
        <f>I8-I9</f>
        <v/>
      </c>
      <c r="J10" s="31">
        <f>J8-J9</f>
        <v/>
      </c>
    </row>
    <row r="11">
      <c r="A11" s="8" t="inlineStr">
        <is>
          <t>Plus: D&amp;A</t>
        </is>
      </c>
      <c r="B11" s="27">
        <f>'Historical Financials'!B$12</f>
        <v/>
      </c>
      <c r="C11" s="27">
        <f>'Historical Financials'!C$12</f>
        <v/>
      </c>
      <c r="D11" s="27">
        <f>'Historical Financials'!D$12</f>
        <v/>
      </c>
      <c r="E11" s="27">
        <f>'Capex D&amp;A'!E$12</f>
        <v/>
      </c>
      <c r="F11" s="27">
        <f>'Capex D&amp;A'!F$12</f>
        <v/>
      </c>
      <c r="G11" s="27">
        <f>'Capex D&amp;A'!G$12</f>
        <v/>
      </c>
      <c r="H11" s="27">
        <f>'Capex D&amp;A'!H$12</f>
        <v/>
      </c>
      <c r="I11" s="27">
        <f>'Capex D&amp;A'!I$12</f>
        <v/>
      </c>
      <c r="J11" s="27">
        <f>'Capex D&amp;A'!J$12</f>
        <v/>
      </c>
    </row>
    <row r="12">
      <c r="A12" s="8" t="inlineStr">
        <is>
          <t>Less: Capex</t>
        </is>
      </c>
      <c r="B12" s="27">
        <f>'Historical Financials'!B$17</f>
        <v/>
      </c>
      <c r="C12" s="27">
        <f>'Historical Financials'!C$17</f>
        <v/>
      </c>
      <c r="D12" s="27">
        <f>'Historical Financials'!D$17</f>
        <v/>
      </c>
      <c r="E12" s="27">
        <f>'Capex D&amp;A'!E$9</f>
        <v/>
      </c>
      <c r="F12" s="27">
        <f>'Capex D&amp;A'!F$9</f>
        <v/>
      </c>
      <c r="G12" s="27">
        <f>'Capex D&amp;A'!G$9</f>
        <v/>
      </c>
      <c r="H12" s="27">
        <f>'Capex D&amp;A'!H$9</f>
        <v/>
      </c>
      <c r="I12" s="27">
        <f>'Capex D&amp;A'!I$9</f>
        <v/>
      </c>
      <c r="J12" s="27">
        <f>'Capex D&amp;A'!J$9</f>
        <v/>
      </c>
    </row>
    <row r="13">
      <c r="A13" s="8" t="inlineStr">
        <is>
          <t>Less: Change in NWC</t>
        </is>
      </c>
      <c r="B13" s="27" t="n">
        <v>0</v>
      </c>
      <c r="C13" s="27">
        <f>'Historical Financials'!C$18-'Historical Financials'!B$18</f>
        <v/>
      </c>
      <c r="D13" s="27">
        <f>'Historical Financials'!D$18-'Historical Financials'!C$18</f>
        <v/>
      </c>
      <c r="E13" s="27">
        <f>'Working Capital'!E$17</f>
        <v/>
      </c>
      <c r="F13" s="27">
        <f>'Working Capital'!F$17</f>
        <v/>
      </c>
      <c r="G13" s="27">
        <f>'Working Capital'!G$17</f>
        <v/>
      </c>
      <c r="H13" s="27">
        <f>'Working Capital'!H$17</f>
        <v/>
      </c>
      <c r="I13" s="27">
        <f>'Working Capital'!I$17</f>
        <v/>
      </c>
      <c r="J13" s="27">
        <f>'Working Capital'!J$17</f>
        <v/>
      </c>
    </row>
    <row r="14">
      <c r="A14" s="3" t="inlineStr">
        <is>
          <t>Unlevered free cash flow</t>
        </is>
      </c>
      <c r="B14" s="9">
        <f>B10+B11-B12-B13</f>
        <v/>
      </c>
      <c r="C14" s="9">
        <f>C10+C11-C12-C13</f>
        <v/>
      </c>
      <c r="D14" s="9">
        <f>D10+D11-D12-D13</f>
        <v/>
      </c>
      <c r="E14" s="9">
        <f>E10+E11-E12-E13</f>
        <v/>
      </c>
      <c r="F14" s="9">
        <f>F10+F11-F12-F13</f>
        <v/>
      </c>
      <c r="G14" s="9">
        <f>G10+G11-G12-G13</f>
        <v/>
      </c>
      <c r="H14" s="9">
        <f>H10+H11-H12-H13</f>
        <v/>
      </c>
      <c r="I14" s="9">
        <f>I10+I11-I12-I13</f>
        <v/>
      </c>
      <c r="J14" s="9">
        <f>J10+J11-J12-J13</f>
        <v/>
      </c>
    </row>
    <row r="15">
      <c r="A15" s="8" t="inlineStr">
        <is>
          <t>Discount period</t>
        </is>
      </c>
      <c r="B15" s="36" t="inlineStr">
        <is>
          <t>n/a</t>
        </is>
      </c>
      <c r="C15" s="36" t="inlineStr">
        <is>
          <t>n/a</t>
        </is>
      </c>
      <c r="D15" s="36" t="inlineStr">
        <is>
          <t>n/a</t>
        </is>
      </c>
      <c r="E15" s="37">
        <f>IF('Control Panel'!$B$11="Yes",1-0.5,1)</f>
        <v/>
      </c>
      <c r="F15" s="37">
        <f>IF('Control Panel'!$B$11="Yes",2-0.5,2)</f>
        <v/>
      </c>
      <c r="G15" s="37">
        <f>IF('Control Panel'!$B$11="Yes",3-0.5,3)</f>
        <v/>
      </c>
      <c r="H15" s="37">
        <f>IF('Control Panel'!$B$11="Yes",4-0.5,4)</f>
        <v/>
      </c>
      <c r="I15" s="37">
        <f>IF('Control Panel'!$B$11="Yes",5-0.5,5)</f>
        <v/>
      </c>
      <c r="J15" s="37">
        <f>IF('Control Panel'!$B$11="Yes",6-0.5,6)</f>
        <v/>
      </c>
    </row>
    <row r="16">
      <c r="A16" s="8" t="inlineStr">
        <is>
          <t>Discount factor</t>
        </is>
      </c>
      <c r="B16" s="36" t="inlineStr">
        <is>
          <t>n/a</t>
        </is>
      </c>
      <c r="C16" s="36" t="inlineStr">
        <is>
          <t>n/a</t>
        </is>
      </c>
      <c r="D16" s="36" t="inlineStr">
        <is>
          <t>n/a</t>
        </is>
      </c>
      <c r="E16" s="38">
        <f>1/(1+'Control Panel'!$B$78)^E15</f>
        <v/>
      </c>
      <c r="F16" s="38">
        <f>1/(1+'Control Panel'!$B$78)^F15</f>
        <v/>
      </c>
      <c r="G16" s="38">
        <f>1/(1+'Control Panel'!$B$78)^G15</f>
        <v/>
      </c>
      <c r="H16" s="38">
        <f>1/(1+'Control Panel'!$B$78)^H15</f>
        <v/>
      </c>
      <c r="I16" s="38">
        <f>1/(1+'Control Panel'!$B$78)^I15</f>
        <v/>
      </c>
      <c r="J16" s="38">
        <f>1/(1+'Control Panel'!$B$78)^J15</f>
        <v/>
      </c>
    </row>
    <row r="17">
      <c r="A17" s="3" t="inlineStr">
        <is>
          <t>Present value of FCF</t>
        </is>
      </c>
      <c r="B17" s="39" t="inlineStr">
        <is>
          <t>n/a</t>
        </is>
      </c>
      <c r="C17" s="39" t="inlineStr">
        <is>
          <t>n/a</t>
        </is>
      </c>
      <c r="D17" s="39" t="inlineStr">
        <is>
          <t>n/a</t>
        </is>
      </c>
      <c r="E17" s="9">
        <f>E14*E16</f>
        <v/>
      </c>
      <c r="F17" s="9">
        <f>F14*F16</f>
        <v/>
      </c>
      <c r="G17" s="9">
        <f>G14*G16</f>
        <v/>
      </c>
      <c r="H17" s="9">
        <f>H14*H16</f>
        <v/>
      </c>
      <c r="I17" s="9">
        <f>I14*I16</f>
        <v/>
      </c>
      <c r="J17" s="9">
        <f>J14*J16</f>
        <v/>
      </c>
    </row>
  </sheetData>
  <mergeCells count="2">
    <mergeCell ref="A1:J1"/>
    <mergeCell ref="A7:J7"/>
  </mergeCells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G2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4" customWidth="1" min="1" max="1"/>
    <col width="14" customWidth="1" min="2" max="2"/>
    <col width="34" customWidth="1" min="3" max="3"/>
    <col width="24" customWidth="1" min="4" max="4"/>
    <col width="28" customWidth="1" min="5" max="5"/>
    <col width="18" customWidth="1" min="6" max="6"/>
    <col width="18" customWidth="1" min="7" max="7"/>
  </cols>
  <sheetData>
    <row r="1" ht="24" customHeight="1">
      <c r="A1" s="1" t="inlineStr">
        <is>
          <t>Weighted Average Cost of Capital</t>
        </is>
      </c>
    </row>
    <row r="2"/>
    <row r="3">
      <c r="A3" s="2" t="inlineStr">
        <is>
          <t>Cost of equity</t>
        </is>
      </c>
    </row>
    <row r="4">
      <c r="A4" s="13" t="inlineStr">
        <is>
          <t>Risk-free rate</t>
        </is>
      </c>
      <c r="B4" s="29">
        <f>'Control Panel'!$B$69</f>
        <v/>
      </c>
      <c r="C4" s="5" t="inlineStr">
        <is>
          <t>Source / calculation basis</t>
        </is>
      </c>
      <c r="D4" s="5" t="inlineStr">
        <is>
          <t>placeholder</t>
        </is>
      </c>
    </row>
    <row r="5">
      <c r="A5" s="13" t="inlineStr">
        <is>
          <t>Beta</t>
        </is>
      </c>
      <c r="B5" s="38">
        <f>'Control Panel'!$B$70</f>
        <v/>
      </c>
      <c r="C5" s="5" t="inlineStr">
        <is>
          <t>Source / calculation basis</t>
        </is>
      </c>
      <c r="D5" s="5" t="inlineStr">
        <is>
          <t>placeholder</t>
        </is>
      </c>
    </row>
    <row r="6">
      <c r="A6" s="13" t="inlineStr">
        <is>
          <t>Market risk premium</t>
        </is>
      </c>
      <c r="B6" s="29">
        <f>'Control Panel'!$B$71</f>
        <v/>
      </c>
      <c r="C6" s="5" t="inlineStr">
        <is>
          <t>Source / calculation basis</t>
        </is>
      </c>
      <c r="D6" s="5" t="inlineStr">
        <is>
          <t>placeholder</t>
        </is>
      </c>
    </row>
    <row r="7">
      <c r="A7" s="13" t="inlineStr">
        <is>
          <t>Size premium</t>
        </is>
      </c>
      <c r="B7" s="29">
        <f>'Control Panel'!$B$72</f>
        <v/>
      </c>
      <c r="C7" s="5" t="inlineStr">
        <is>
          <t>Source / calculation basis</t>
        </is>
      </c>
      <c r="D7" s="5" t="inlineStr">
        <is>
          <t>placeholder</t>
        </is>
      </c>
    </row>
    <row r="8">
      <c r="A8" s="3" t="inlineStr">
        <is>
          <t>Cost of equity</t>
        </is>
      </c>
      <c r="B8" s="12">
        <f>B4+B5*B6+B7</f>
        <v/>
      </c>
      <c r="C8" s="5" t="inlineStr">
        <is>
          <t>Source / calculation basis</t>
        </is>
      </c>
      <c r="D8" s="5" t="inlineStr">
        <is>
          <t>derived</t>
        </is>
      </c>
    </row>
    <row r="9"/>
    <row r="10">
      <c r="A10" s="2" t="inlineStr">
        <is>
          <t>Cost of debt and capital structure</t>
        </is>
      </c>
    </row>
    <row r="11">
      <c r="A11" s="13" t="inlineStr">
        <is>
          <t>Pre-tax cost of debt</t>
        </is>
      </c>
      <c r="B11" s="29">
        <f>'Control Panel'!$B$73</f>
        <v/>
      </c>
      <c r="C11" s="5" t="inlineStr">
        <is>
          <t>Source / calculation basis</t>
        </is>
      </c>
      <c r="D11" s="5" t="inlineStr">
        <is>
          <t>placeholder</t>
        </is>
      </c>
    </row>
    <row r="12">
      <c r="A12" s="13" t="inlineStr">
        <is>
          <t>Tax rate</t>
        </is>
      </c>
      <c r="B12" s="29">
        <f>'Tax Schedule'!J$9</f>
        <v/>
      </c>
      <c r="C12" s="5" t="inlineStr">
        <is>
          <t>Source / calculation basis</t>
        </is>
      </c>
      <c r="D12" s="5" t="inlineStr">
        <is>
          <t>placeholder</t>
        </is>
      </c>
    </row>
    <row r="13">
      <c r="A13" s="3" t="inlineStr">
        <is>
          <t>After-tax cost of debt</t>
        </is>
      </c>
      <c r="B13" s="12">
        <f>B11*(1-B12)</f>
        <v/>
      </c>
      <c r="C13" s="5" t="inlineStr">
        <is>
          <t>Source / calculation basis</t>
        </is>
      </c>
      <c r="D13" s="5" t="inlineStr">
        <is>
          <t>derived</t>
        </is>
      </c>
    </row>
    <row r="14">
      <c r="A14" s="13" t="inlineStr">
        <is>
          <t>Target debt / capital</t>
        </is>
      </c>
      <c r="B14" s="29">
        <f>'Control Panel'!$B$74</f>
        <v/>
      </c>
      <c r="C14" s="5" t="inlineStr">
        <is>
          <t>Source / calculation basis</t>
        </is>
      </c>
      <c r="D14" s="5" t="inlineStr">
        <is>
          <t>placeholder</t>
        </is>
      </c>
    </row>
    <row r="15">
      <c r="A15" s="13" t="inlineStr">
        <is>
          <t>Target equity / capital</t>
        </is>
      </c>
      <c r="B15" s="29">
        <f>'Control Panel'!$B$75</f>
        <v/>
      </c>
      <c r="C15" s="5" t="inlineStr">
        <is>
          <t>Source / calculation basis</t>
        </is>
      </c>
      <c r="D15" s="5" t="inlineStr">
        <is>
          <t>placeholder</t>
        </is>
      </c>
    </row>
    <row r="16">
      <c r="A16" s="13" t="inlineStr">
        <is>
          <t>WACC formula check</t>
        </is>
      </c>
      <c r="B16" s="12">
        <f>B14+B15</f>
        <v/>
      </c>
      <c r="C16" s="5" t="inlineStr">
        <is>
          <t>Source / calculation basis</t>
        </is>
      </c>
      <c r="D16" s="5" t="inlineStr">
        <is>
          <t>derived</t>
        </is>
      </c>
    </row>
    <row r="17">
      <c r="A17" s="3" t="inlineStr">
        <is>
          <t>Calculated WACC</t>
        </is>
      </c>
      <c r="B17" s="12">
        <f>B8*B15+B13*B14</f>
        <v/>
      </c>
      <c r="C17" s="5" t="inlineStr">
        <is>
          <t>Source / calculation basis</t>
        </is>
      </c>
      <c r="D17" s="5" t="inlineStr">
        <is>
          <t>derived</t>
        </is>
      </c>
    </row>
    <row r="18"/>
    <row r="19">
      <c r="A19" s="2" t="inlineStr">
        <is>
          <t>Source notes</t>
        </is>
      </c>
    </row>
    <row r="20">
      <c r="A20" s="13" t="inlineStr">
        <is>
          <t>Risk-free source</t>
        </is>
      </c>
      <c r="B20" s="7">
        <f>'Source Notes'!B7</f>
        <v/>
      </c>
    </row>
    <row r="21">
      <c r="A21" s="13" t="inlineStr">
        <is>
          <t>Market data confidence</t>
        </is>
      </c>
      <c r="B21" s="7">
        <f>'Source Notes'!E7</f>
        <v/>
      </c>
    </row>
    <row r="22">
      <c r="A22" s="14" t="inlineStr">
        <is>
          <t>WACC caveat</t>
        </is>
      </c>
      <c r="B22" s="5" t="inlineStr">
        <is>
          <t>Replace illustrative assumptions with market data as of valuation date</t>
        </is>
      </c>
    </row>
  </sheetData>
  <mergeCells count="4">
    <mergeCell ref="A3:G3"/>
    <mergeCell ref="A19:G19"/>
    <mergeCell ref="A1:G1"/>
    <mergeCell ref="A10:G10"/>
  </mergeCells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H2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4" customWidth="1" min="1" max="1"/>
    <col width="18" customWidth="1" min="2" max="2"/>
    <col width="24" customWidth="1" min="3" max="3"/>
    <col width="2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4" customHeight="1">
      <c r="A1" s="1" t="inlineStr">
        <is>
          <t>Terminal Value</t>
        </is>
      </c>
    </row>
    <row r="2"/>
    <row r="3">
      <c r="A3" s="2" t="inlineStr">
        <is>
          <t>Terminal value calculation</t>
        </is>
      </c>
    </row>
    <row r="4">
      <c r="A4" s="8" t="inlineStr">
        <is>
          <t>Selected method</t>
        </is>
      </c>
      <c r="B4" s="7">
        <f>'Control Panel'!$B$14</f>
        <v/>
      </c>
    </row>
    <row r="5">
      <c r="A5" s="8" t="inlineStr">
        <is>
          <t>Selected WACC</t>
        </is>
      </c>
      <c r="B5" s="29">
        <f>'Control Panel'!$B$78</f>
        <v/>
      </c>
    </row>
    <row r="6">
      <c r="A6" s="8" t="inlineStr">
        <is>
          <t>Terminal growth rate</t>
        </is>
      </c>
      <c r="B6" s="29">
        <f>'Control Panel'!$B$83</f>
        <v/>
      </c>
    </row>
    <row r="7">
      <c r="A7" s="8" t="inlineStr">
        <is>
          <t>Exit multiple</t>
        </is>
      </c>
      <c r="B7" s="40">
        <f>'Control Panel'!$B$84</f>
        <v/>
      </c>
    </row>
    <row r="8">
      <c r="A8" s="8" t="inlineStr">
        <is>
          <t>Terminal EBITDA</t>
        </is>
      </c>
      <c r="B8" s="27">
        <f>'Margin Cost Build'!J$12</f>
        <v/>
      </c>
    </row>
    <row r="9">
      <c r="A9" s="8" t="inlineStr">
        <is>
          <t>Terminal FCF</t>
        </is>
      </c>
      <c r="B9" s="27">
        <f>'Unlevered FCF'!J$14</f>
        <v/>
      </c>
    </row>
    <row r="10">
      <c r="A10" s="3" t="inlineStr">
        <is>
          <t>Gordon growth terminal value</t>
        </is>
      </c>
      <c r="B10" s="9">
        <f>B9*(1+B6)/(B5-B6)</f>
        <v/>
      </c>
    </row>
    <row r="11">
      <c r="A11" s="3" t="inlineStr">
        <is>
          <t>Exit multiple terminal value</t>
        </is>
      </c>
      <c r="B11" s="9">
        <f>B8*B7</f>
        <v/>
      </c>
    </row>
    <row r="12">
      <c r="A12" s="3" t="inlineStr">
        <is>
          <t>Selected terminal value</t>
        </is>
      </c>
      <c r="B12" s="9">
        <f>IF(B4="Gordon Growth",B10,B11)</f>
        <v/>
      </c>
    </row>
    <row r="13">
      <c r="A13" s="8" t="inlineStr">
        <is>
          <t>Terminal discount factor</t>
        </is>
      </c>
      <c r="B13" s="41">
        <f>1/(1+B5)^6</f>
        <v/>
      </c>
    </row>
    <row r="14">
      <c r="A14" s="3" t="inlineStr">
        <is>
          <t>PV of terminal value</t>
        </is>
      </c>
      <c r="B14" s="9">
        <f>B12*B13</f>
        <v/>
      </c>
    </row>
    <row r="15">
      <c r="A15" s="8" t="inlineStr">
        <is>
          <t>Implied terminal EBITDA multiple</t>
        </is>
      </c>
      <c r="B15" s="42">
        <f>B12/B8</f>
        <v/>
      </c>
    </row>
    <row r="16">
      <c r="A16" s="8" t="inlineStr">
        <is>
          <t>Implied terminal FCF yield</t>
        </is>
      </c>
      <c r="B16" s="12">
        <f>B9/B12</f>
        <v/>
      </c>
    </row>
    <row r="17">
      <c r="A17" s="8" t="inlineStr">
        <is>
          <t>Implied perpetual growth cross-check</t>
        </is>
      </c>
      <c r="B17" s="12">
        <f>B5-B9/B12</f>
        <v/>
      </c>
    </row>
    <row r="18"/>
    <row r="19"/>
    <row r="20">
      <c r="A20" s="2" t="inlineStr">
        <is>
          <t>Terminal value sanity checks</t>
        </is>
      </c>
    </row>
    <row r="21">
      <c r="A21" s="13" t="inlineStr">
        <is>
          <t>Terminal value / enterprise value</t>
        </is>
      </c>
      <c r="B21" s="12">
        <f>B14/'DCF Valuation'!B$8</f>
        <v/>
      </c>
    </row>
    <row r="22">
      <c r="A22" s="13" t="inlineStr">
        <is>
          <t>Growth below WACC</t>
        </is>
      </c>
      <c r="B22" s="43">
        <f>IF(B6&lt;B5,"OK","FAIL")</f>
        <v/>
      </c>
    </row>
    <row r="23">
      <c r="A23" s="13" t="inlineStr">
        <is>
          <t>Positive selected terminal value</t>
        </is>
      </c>
      <c r="B23" s="43">
        <f>IF(B12&gt;0,"OK","FAIL")</f>
        <v/>
      </c>
    </row>
  </sheetData>
  <mergeCells count="3">
    <mergeCell ref="A20:H20"/>
    <mergeCell ref="A3:H3"/>
    <mergeCell ref="A1:H1"/>
  </mergeCells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H2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36" customWidth="1" min="1" max="1"/>
    <col width="18" customWidth="1" min="2" max="2"/>
    <col width="24" customWidth="1" min="3" max="3"/>
    <col width="2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4" customHeight="1">
      <c r="A1" s="1" t="inlineStr">
        <is>
          <t>DCF Valuation</t>
        </is>
      </c>
    </row>
    <row r="2"/>
    <row r="3">
      <c r="A3" s="2" t="inlineStr">
        <is>
          <t>Enterprise value</t>
        </is>
      </c>
    </row>
    <row r="4">
      <c r="A4" s="3" t="inlineStr">
        <is>
          <t>PV of forecast FCF</t>
        </is>
      </c>
      <c r="B4" s="9">
        <f>SUM('Unlevered FCF'!E$17:J$17)</f>
        <v/>
      </c>
    </row>
    <row r="5">
      <c r="A5" s="3" t="inlineStr">
        <is>
          <t>PV of terminal value</t>
        </is>
      </c>
      <c r="B5" s="27">
        <f>'Terminal Value'!B$14</f>
        <v/>
      </c>
    </row>
    <row r="6">
      <c r="A6" s="3" t="inlineStr">
        <is>
          <t>Enterprise value</t>
        </is>
      </c>
      <c r="B6" s="9">
        <f>B4+B5</f>
        <v/>
      </c>
    </row>
    <row r="7">
      <c r="A7" s="8" t="inlineStr">
        <is>
          <t>Terminal value % of enterprise value</t>
        </is>
      </c>
      <c r="B7" s="12">
        <f>B5/B6</f>
        <v/>
      </c>
    </row>
    <row r="8">
      <c r="A8" s="8" t="inlineStr">
        <is>
          <t>Enterprise value check</t>
        </is>
      </c>
      <c r="B8" s="9">
        <f>B4+B5</f>
        <v/>
      </c>
    </row>
    <row r="9"/>
    <row r="10">
      <c r="A10" s="2" t="inlineStr">
        <is>
          <t>EV-to-equity bridge</t>
        </is>
      </c>
    </row>
    <row r="11">
      <c r="A11" s="8" t="inlineStr">
        <is>
          <t>Less: net debt</t>
        </is>
      </c>
      <c r="B11" s="27">
        <f>'Control Panel'!$B$85</f>
        <v/>
      </c>
    </row>
    <row r="12">
      <c r="A12" s="8" t="inlineStr">
        <is>
          <t>Less: minority interest</t>
        </is>
      </c>
      <c r="B12" s="27">
        <f>'Control Panel'!$B$87</f>
        <v/>
      </c>
    </row>
    <row r="13">
      <c r="A13" s="8" t="inlineStr">
        <is>
          <t>Less: preferred stock</t>
        </is>
      </c>
      <c r="B13" s="27">
        <f>'Control Panel'!$B$88</f>
        <v/>
      </c>
    </row>
    <row r="14">
      <c r="A14" s="8" t="inlineStr">
        <is>
          <t>Plus: non-operating assets</t>
        </is>
      </c>
      <c r="B14" s="27">
        <f>'Control Panel'!$B$89</f>
        <v/>
      </c>
    </row>
    <row r="15">
      <c r="A15" s="8" t="inlineStr">
        <is>
          <t>Other equity adjustments</t>
        </is>
      </c>
      <c r="B15" s="27">
        <f>'Control Panel'!$B$90</f>
        <v/>
      </c>
    </row>
    <row r="16">
      <c r="A16" s="3" t="inlineStr">
        <is>
          <t>Equity value</t>
        </is>
      </c>
      <c r="B16" s="9">
        <f>B6-B11-B12-B13+B14+B15</f>
        <v/>
      </c>
    </row>
    <row r="17">
      <c r="A17" s="8" t="inlineStr">
        <is>
          <t>Diluted shares</t>
        </is>
      </c>
      <c r="B17" s="44">
        <f>'Control Panel'!$B$86</f>
        <v/>
      </c>
    </row>
    <row r="18">
      <c r="A18" s="3" t="inlineStr">
        <is>
          <t>Implied share price</t>
        </is>
      </c>
      <c r="B18" s="10">
        <f>B16/B17</f>
        <v/>
      </c>
    </row>
    <row r="19">
      <c r="A19" s="8" t="inlineStr">
        <is>
          <t>Current share price</t>
        </is>
      </c>
      <c r="B19" s="11">
        <f>'Control Panel'!$B$12</f>
        <v/>
      </c>
    </row>
    <row r="20">
      <c r="A20" s="3" t="inlineStr">
        <is>
          <t>Upside / downside</t>
        </is>
      </c>
      <c r="B20" s="12">
        <f>B18/B19-1</f>
        <v/>
      </c>
    </row>
    <row r="21">
      <c r="A21" s="8" t="inlineStr">
        <is>
          <t>Implied EV / EBITDA</t>
        </is>
      </c>
      <c r="B21" s="42">
        <f>B6/'Margin Cost Build'!J$12</f>
        <v/>
      </c>
    </row>
    <row r="22">
      <c r="A22" s="8" t="inlineStr">
        <is>
          <t>Implied FCF yield</t>
        </is>
      </c>
      <c r="B22" s="12">
        <f>'Unlevered FCF'!J$14/B6</f>
        <v/>
      </c>
    </row>
  </sheetData>
  <mergeCells count="3">
    <mergeCell ref="A3:H3"/>
    <mergeCell ref="A10:H10"/>
    <mergeCell ref="A1:H1"/>
  </mergeCells>
  <pageMargins left="0.75" right="0.75" top="1" bottom="1" header="0.5" footer="0.5"/>
  <pageSetup fitToHeight="0" fitToWidth="1"/>
</worksheet>
</file>

<file path=xl/worksheets/sheet14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L5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2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3" customWidth="1" min="9" max="9"/>
    <col width="24" customWidth="1" min="10" max="10"/>
    <col width="13" customWidth="1" min="11" max="11"/>
    <col width="13" customWidth="1" min="12" max="12"/>
  </cols>
  <sheetData>
    <row r="1" ht="24" customHeight="1">
      <c r="A1" s="1" t="inlineStr">
        <is>
          <t>Sensitivities</t>
        </is>
      </c>
    </row>
    <row r="2"/>
    <row r="3">
      <c r="A3" s="2" t="inlineStr">
        <is>
          <t>Implied share price by WACC and terminal growth</t>
        </is>
      </c>
    </row>
    <row r="4">
      <c r="A4" s="18" t="inlineStr">
        <is>
          <t>Terminal growth</t>
        </is>
      </c>
      <c r="B4" s="45" t="n">
        <v>0.075</v>
      </c>
      <c r="C4" s="45" t="n">
        <v>0.08</v>
      </c>
      <c r="D4" s="45" t="n">
        <v>0.08500000000000001</v>
      </c>
      <c r="E4" s="45" t="n">
        <v>0.09</v>
      </c>
      <c r="F4" s="45" t="n">
        <v>0.095</v>
      </c>
      <c r="G4" s="45" t="n">
        <v>0.1</v>
      </c>
      <c r="H4" s="45" t="n">
        <v>0.105</v>
      </c>
    </row>
    <row r="5">
      <c r="A5" s="46" t="n">
        <v>0.015</v>
      </c>
      <c r="B5" s="10">
        <f>(('Unlevered FCF'!E$14/(1+B$4)^1+'Unlevered FCF'!F$14/(1+B$4)^2+'Unlevered FCF'!G$14/(1+B$4)^3+'Unlevered FCF'!H$14/(1+B$4)^4+'Unlevered FCF'!I$14/(1+B$4)^5+'Unlevered FCF'!J$14/(1+B$4)^6)+('Unlevered FCF'!J$14*(1+$A5)/(B$4-$A5))/(1+B$4)^6-'Control Panel'!$B$85-'Control Panel'!$B$87-'Control Panel'!$B$88+'Control Panel'!$B$89+'Control Panel'!$B$90)/'Control Panel'!$B$86</f>
        <v/>
      </c>
      <c r="C5" s="10">
        <f>(('Unlevered FCF'!E$14/(1+C$4)^1+'Unlevered FCF'!F$14/(1+C$4)^2+'Unlevered FCF'!G$14/(1+C$4)^3+'Unlevered FCF'!H$14/(1+C$4)^4+'Unlevered FCF'!I$14/(1+C$4)^5+'Unlevered FCF'!J$14/(1+C$4)^6)+('Unlevered FCF'!J$14*(1+$A5)/(C$4-$A5))/(1+C$4)^6-'Control Panel'!$B$85-'Control Panel'!$B$87-'Control Panel'!$B$88+'Control Panel'!$B$89+'Control Panel'!$B$90)/'Control Panel'!$B$86</f>
        <v/>
      </c>
      <c r="D5" s="10">
        <f>(('Unlevered FCF'!E$14/(1+D$4)^1+'Unlevered FCF'!F$14/(1+D$4)^2+'Unlevered FCF'!G$14/(1+D$4)^3+'Unlevered FCF'!H$14/(1+D$4)^4+'Unlevered FCF'!I$14/(1+D$4)^5+'Unlevered FCF'!J$14/(1+D$4)^6)+('Unlevered FCF'!J$14*(1+$A5)/(D$4-$A5))/(1+D$4)^6-'Control Panel'!$B$85-'Control Panel'!$B$87-'Control Panel'!$B$88+'Control Panel'!$B$89+'Control Panel'!$B$90)/'Control Panel'!$B$86</f>
        <v/>
      </c>
      <c r="E5" s="10">
        <f>(('Unlevered FCF'!E$14/(1+E$4)^1+'Unlevered FCF'!F$14/(1+E$4)^2+'Unlevered FCF'!G$14/(1+E$4)^3+'Unlevered FCF'!H$14/(1+E$4)^4+'Unlevered FCF'!I$14/(1+E$4)^5+'Unlevered FCF'!J$14/(1+E$4)^6)+('Unlevered FCF'!J$14*(1+$A5)/(E$4-$A5))/(1+E$4)^6-'Control Panel'!$B$85-'Control Panel'!$B$87-'Control Panel'!$B$88+'Control Panel'!$B$89+'Control Panel'!$B$90)/'Control Panel'!$B$86</f>
        <v/>
      </c>
      <c r="F5" s="10">
        <f>(('Unlevered FCF'!E$14/(1+F$4)^1+'Unlevered FCF'!F$14/(1+F$4)^2+'Unlevered FCF'!G$14/(1+F$4)^3+'Unlevered FCF'!H$14/(1+F$4)^4+'Unlevered FCF'!I$14/(1+F$4)^5+'Unlevered FCF'!J$14/(1+F$4)^6)+('Unlevered FCF'!J$14*(1+$A5)/(F$4-$A5))/(1+F$4)^6-'Control Panel'!$B$85-'Control Panel'!$B$87-'Control Panel'!$B$88+'Control Panel'!$B$89+'Control Panel'!$B$90)/'Control Panel'!$B$86</f>
        <v/>
      </c>
      <c r="G5" s="10">
        <f>(('Unlevered FCF'!E$14/(1+G$4)^1+'Unlevered FCF'!F$14/(1+G$4)^2+'Unlevered FCF'!G$14/(1+G$4)^3+'Unlevered FCF'!H$14/(1+G$4)^4+'Unlevered FCF'!I$14/(1+G$4)^5+'Unlevered FCF'!J$14/(1+G$4)^6)+('Unlevered FCF'!J$14*(1+$A5)/(G$4-$A5))/(1+G$4)^6-'Control Panel'!$B$85-'Control Panel'!$B$87-'Control Panel'!$B$88+'Control Panel'!$B$89+'Control Panel'!$B$90)/'Control Panel'!$B$86</f>
        <v/>
      </c>
      <c r="H5" s="10">
        <f>(('Unlevered FCF'!E$14/(1+H$4)^1+'Unlevered FCF'!F$14/(1+H$4)^2+'Unlevered FCF'!G$14/(1+H$4)^3+'Unlevered FCF'!H$14/(1+H$4)^4+'Unlevered FCF'!I$14/(1+H$4)^5+'Unlevered FCF'!J$14/(1+H$4)^6)+('Unlevered FCF'!J$14*(1+$A5)/(H$4-$A5))/(1+H$4)^6-'Control Panel'!$B$85-'Control Panel'!$B$87-'Control Panel'!$B$88+'Control Panel'!$B$89+'Control Panel'!$B$90)/'Control Panel'!$B$86</f>
        <v/>
      </c>
    </row>
    <row r="6">
      <c r="A6" s="46" t="n">
        <v>0.02</v>
      </c>
      <c r="B6" s="10">
        <f>(('Unlevered FCF'!E$14/(1+B$4)^1+'Unlevered FCF'!F$14/(1+B$4)^2+'Unlevered FCF'!G$14/(1+B$4)^3+'Unlevered FCF'!H$14/(1+B$4)^4+'Unlevered FCF'!I$14/(1+B$4)^5+'Unlevered FCF'!J$14/(1+B$4)^6)+('Unlevered FCF'!J$14*(1+$A6)/(B$4-$A6))/(1+B$4)^6-'Control Panel'!$B$85-'Control Panel'!$B$87-'Control Panel'!$B$88+'Control Panel'!$B$89+'Control Panel'!$B$90)/'Control Panel'!$B$86</f>
        <v/>
      </c>
      <c r="C6" s="10">
        <f>(('Unlevered FCF'!E$14/(1+C$4)^1+'Unlevered FCF'!F$14/(1+C$4)^2+'Unlevered FCF'!G$14/(1+C$4)^3+'Unlevered FCF'!H$14/(1+C$4)^4+'Unlevered FCF'!I$14/(1+C$4)^5+'Unlevered FCF'!J$14/(1+C$4)^6)+('Unlevered FCF'!J$14*(1+$A6)/(C$4-$A6))/(1+C$4)^6-'Control Panel'!$B$85-'Control Panel'!$B$87-'Control Panel'!$B$88+'Control Panel'!$B$89+'Control Panel'!$B$90)/'Control Panel'!$B$86</f>
        <v/>
      </c>
      <c r="D6" s="10">
        <f>(('Unlevered FCF'!E$14/(1+D$4)^1+'Unlevered FCF'!F$14/(1+D$4)^2+'Unlevered FCF'!G$14/(1+D$4)^3+'Unlevered FCF'!H$14/(1+D$4)^4+'Unlevered FCF'!I$14/(1+D$4)^5+'Unlevered FCF'!J$14/(1+D$4)^6)+('Unlevered FCF'!J$14*(1+$A6)/(D$4-$A6))/(1+D$4)^6-'Control Panel'!$B$85-'Control Panel'!$B$87-'Control Panel'!$B$88+'Control Panel'!$B$89+'Control Panel'!$B$90)/'Control Panel'!$B$86</f>
        <v/>
      </c>
      <c r="E6" s="10">
        <f>(('Unlevered FCF'!E$14/(1+E$4)^1+'Unlevered FCF'!F$14/(1+E$4)^2+'Unlevered FCF'!G$14/(1+E$4)^3+'Unlevered FCF'!H$14/(1+E$4)^4+'Unlevered FCF'!I$14/(1+E$4)^5+'Unlevered FCF'!J$14/(1+E$4)^6)+('Unlevered FCF'!J$14*(1+$A6)/(E$4-$A6))/(1+E$4)^6-'Control Panel'!$B$85-'Control Panel'!$B$87-'Control Panel'!$B$88+'Control Panel'!$B$89+'Control Panel'!$B$90)/'Control Panel'!$B$86</f>
        <v/>
      </c>
      <c r="F6" s="10">
        <f>(('Unlevered FCF'!E$14/(1+F$4)^1+'Unlevered FCF'!F$14/(1+F$4)^2+'Unlevered FCF'!G$14/(1+F$4)^3+'Unlevered FCF'!H$14/(1+F$4)^4+'Unlevered FCF'!I$14/(1+F$4)^5+'Unlevered FCF'!J$14/(1+F$4)^6)+('Unlevered FCF'!J$14*(1+$A6)/(F$4-$A6))/(1+F$4)^6-'Control Panel'!$B$85-'Control Panel'!$B$87-'Control Panel'!$B$88+'Control Panel'!$B$89+'Control Panel'!$B$90)/'Control Panel'!$B$86</f>
        <v/>
      </c>
      <c r="G6" s="10">
        <f>(('Unlevered FCF'!E$14/(1+G$4)^1+'Unlevered FCF'!F$14/(1+G$4)^2+'Unlevered FCF'!G$14/(1+G$4)^3+'Unlevered FCF'!H$14/(1+G$4)^4+'Unlevered FCF'!I$14/(1+G$4)^5+'Unlevered FCF'!J$14/(1+G$4)^6)+('Unlevered FCF'!J$14*(1+$A6)/(G$4-$A6))/(1+G$4)^6-'Control Panel'!$B$85-'Control Panel'!$B$87-'Control Panel'!$B$88+'Control Panel'!$B$89+'Control Panel'!$B$90)/'Control Panel'!$B$86</f>
        <v/>
      </c>
      <c r="H6" s="10">
        <f>(('Unlevered FCF'!E$14/(1+H$4)^1+'Unlevered FCF'!F$14/(1+H$4)^2+'Unlevered FCF'!G$14/(1+H$4)^3+'Unlevered FCF'!H$14/(1+H$4)^4+'Unlevered FCF'!I$14/(1+H$4)^5+'Unlevered FCF'!J$14/(1+H$4)^6)+('Unlevered FCF'!J$14*(1+$A6)/(H$4-$A6))/(1+H$4)^6-'Control Panel'!$B$85-'Control Panel'!$B$87-'Control Panel'!$B$88+'Control Panel'!$B$89+'Control Panel'!$B$90)/'Control Panel'!$B$86</f>
        <v/>
      </c>
    </row>
    <row r="7">
      <c r="A7" s="46" t="n">
        <v>0.025</v>
      </c>
      <c r="B7" s="10">
        <f>(('Unlevered FCF'!E$14/(1+B$4)^1+'Unlevered FCF'!F$14/(1+B$4)^2+'Unlevered FCF'!G$14/(1+B$4)^3+'Unlevered FCF'!H$14/(1+B$4)^4+'Unlevered FCF'!I$14/(1+B$4)^5+'Unlevered FCF'!J$14/(1+B$4)^6)+('Unlevered FCF'!J$14*(1+$A7)/(B$4-$A7))/(1+B$4)^6-'Control Panel'!$B$85-'Control Panel'!$B$87-'Control Panel'!$B$88+'Control Panel'!$B$89+'Control Panel'!$B$90)/'Control Panel'!$B$86</f>
        <v/>
      </c>
      <c r="C7" s="10">
        <f>(('Unlevered FCF'!E$14/(1+C$4)^1+'Unlevered FCF'!F$14/(1+C$4)^2+'Unlevered FCF'!G$14/(1+C$4)^3+'Unlevered FCF'!H$14/(1+C$4)^4+'Unlevered FCF'!I$14/(1+C$4)^5+'Unlevered FCF'!J$14/(1+C$4)^6)+('Unlevered FCF'!J$14*(1+$A7)/(C$4-$A7))/(1+C$4)^6-'Control Panel'!$B$85-'Control Panel'!$B$87-'Control Panel'!$B$88+'Control Panel'!$B$89+'Control Panel'!$B$90)/'Control Panel'!$B$86</f>
        <v/>
      </c>
      <c r="D7" s="10">
        <f>(('Unlevered FCF'!E$14/(1+D$4)^1+'Unlevered FCF'!F$14/(1+D$4)^2+'Unlevered FCF'!G$14/(1+D$4)^3+'Unlevered FCF'!H$14/(1+D$4)^4+'Unlevered FCF'!I$14/(1+D$4)^5+'Unlevered FCF'!J$14/(1+D$4)^6)+('Unlevered FCF'!J$14*(1+$A7)/(D$4-$A7))/(1+D$4)^6-'Control Panel'!$B$85-'Control Panel'!$B$87-'Control Panel'!$B$88+'Control Panel'!$B$89+'Control Panel'!$B$90)/'Control Panel'!$B$86</f>
        <v/>
      </c>
      <c r="E7" s="10">
        <f>(('Unlevered FCF'!E$14/(1+E$4)^1+'Unlevered FCF'!F$14/(1+E$4)^2+'Unlevered FCF'!G$14/(1+E$4)^3+'Unlevered FCF'!H$14/(1+E$4)^4+'Unlevered FCF'!I$14/(1+E$4)^5+'Unlevered FCF'!J$14/(1+E$4)^6)+('Unlevered FCF'!J$14*(1+$A7)/(E$4-$A7))/(1+E$4)^6-'Control Panel'!$B$85-'Control Panel'!$B$87-'Control Panel'!$B$88+'Control Panel'!$B$89+'Control Panel'!$B$90)/'Control Panel'!$B$86</f>
        <v/>
      </c>
      <c r="F7" s="10">
        <f>(('Unlevered FCF'!E$14/(1+F$4)^1+'Unlevered FCF'!F$14/(1+F$4)^2+'Unlevered FCF'!G$14/(1+F$4)^3+'Unlevered FCF'!H$14/(1+F$4)^4+'Unlevered FCF'!I$14/(1+F$4)^5+'Unlevered FCF'!J$14/(1+F$4)^6)+('Unlevered FCF'!J$14*(1+$A7)/(F$4-$A7))/(1+F$4)^6-'Control Panel'!$B$85-'Control Panel'!$B$87-'Control Panel'!$B$88+'Control Panel'!$B$89+'Control Panel'!$B$90)/'Control Panel'!$B$86</f>
        <v/>
      </c>
      <c r="G7" s="10">
        <f>(('Unlevered FCF'!E$14/(1+G$4)^1+'Unlevered FCF'!F$14/(1+G$4)^2+'Unlevered FCF'!G$14/(1+G$4)^3+'Unlevered FCF'!H$14/(1+G$4)^4+'Unlevered FCF'!I$14/(1+G$4)^5+'Unlevered FCF'!J$14/(1+G$4)^6)+('Unlevered FCF'!J$14*(1+$A7)/(G$4-$A7))/(1+G$4)^6-'Control Panel'!$B$85-'Control Panel'!$B$87-'Control Panel'!$B$88+'Control Panel'!$B$89+'Control Panel'!$B$90)/'Control Panel'!$B$86</f>
        <v/>
      </c>
      <c r="H7" s="10">
        <f>(('Unlevered FCF'!E$14/(1+H$4)^1+'Unlevered FCF'!F$14/(1+H$4)^2+'Unlevered FCF'!G$14/(1+H$4)^3+'Unlevered FCF'!H$14/(1+H$4)^4+'Unlevered FCF'!I$14/(1+H$4)^5+'Unlevered FCF'!J$14/(1+H$4)^6)+('Unlevered FCF'!J$14*(1+$A7)/(H$4-$A7))/(1+H$4)^6-'Control Panel'!$B$85-'Control Panel'!$B$87-'Control Panel'!$B$88+'Control Panel'!$B$89+'Control Panel'!$B$90)/'Control Panel'!$B$86</f>
        <v/>
      </c>
    </row>
    <row r="8">
      <c r="A8" s="46" t="n">
        <v>0.03</v>
      </c>
      <c r="B8" s="10">
        <f>(('Unlevered FCF'!E$14/(1+B$4)^1+'Unlevered FCF'!F$14/(1+B$4)^2+'Unlevered FCF'!G$14/(1+B$4)^3+'Unlevered FCF'!H$14/(1+B$4)^4+'Unlevered FCF'!I$14/(1+B$4)^5+'Unlevered FCF'!J$14/(1+B$4)^6)+('Unlevered FCF'!J$14*(1+$A8)/(B$4-$A8))/(1+B$4)^6-'Control Panel'!$B$85-'Control Panel'!$B$87-'Control Panel'!$B$88+'Control Panel'!$B$89+'Control Panel'!$B$90)/'Control Panel'!$B$86</f>
        <v/>
      </c>
      <c r="C8" s="10">
        <f>(('Unlevered FCF'!E$14/(1+C$4)^1+'Unlevered FCF'!F$14/(1+C$4)^2+'Unlevered FCF'!G$14/(1+C$4)^3+'Unlevered FCF'!H$14/(1+C$4)^4+'Unlevered FCF'!I$14/(1+C$4)^5+'Unlevered FCF'!J$14/(1+C$4)^6)+('Unlevered FCF'!J$14*(1+$A8)/(C$4-$A8))/(1+C$4)^6-'Control Panel'!$B$85-'Control Panel'!$B$87-'Control Panel'!$B$88+'Control Panel'!$B$89+'Control Panel'!$B$90)/'Control Panel'!$B$86</f>
        <v/>
      </c>
      <c r="D8" s="10">
        <f>(('Unlevered FCF'!E$14/(1+D$4)^1+'Unlevered FCF'!F$14/(1+D$4)^2+'Unlevered FCF'!G$14/(1+D$4)^3+'Unlevered FCF'!H$14/(1+D$4)^4+'Unlevered FCF'!I$14/(1+D$4)^5+'Unlevered FCF'!J$14/(1+D$4)^6)+('Unlevered FCF'!J$14*(1+$A8)/(D$4-$A8))/(1+D$4)^6-'Control Panel'!$B$85-'Control Panel'!$B$87-'Control Panel'!$B$88+'Control Panel'!$B$89+'Control Panel'!$B$90)/'Control Panel'!$B$86</f>
        <v/>
      </c>
      <c r="E8" s="10">
        <f>(('Unlevered FCF'!E$14/(1+E$4)^1+'Unlevered FCF'!F$14/(1+E$4)^2+'Unlevered FCF'!G$14/(1+E$4)^3+'Unlevered FCF'!H$14/(1+E$4)^4+'Unlevered FCF'!I$14/(1+E$4)^5+'Unlevered FCF'!J$14/(1+E$4)^6)+('Unlevered FCF'!J$14*(1+$A8)/(E$4-$A8))/(1+E$4)^6-'Control Panel'!$B$85-'Control Panel'!$B$87-'Control Panel'!$B$88+'Control Panel'!$B$89+'Control Panel'!$B$90)/'Control Panel'!$B$86</f>
        <v/>
      </c>
      <c r="F8" s="10">
        <f>(('Unlevered FCF'!E$14/(1+F$4)^1+'Unlevered FCF'!F$14/(1+F$4)^2+'Unlevered FCF'!G$14/(1+F$4)^3+'Unlevered FCF'!H$14/(1+F$4)^4+'Unlevered FCF'!I$14/(1+F$4)^5+'Unlevered FCF'!J$14/(1+F$4)^6)+('Unlevered FCF'!J$14*(1+$A8)/(F$4-$A8))/(1+F$4)^6-'Control Panel'!$B$85-'Control Panel'!$B$87-'Control Panel'!$B$88+'Control Panel'!$B$89+'Control Panel'!$B$90)/'Control Panel'!$B$86</f>
        <v/>
      </c>
      <c r="G8" s="10">
        <f>(('Unlevered FCF'!E$14/(1+G$4)^1+'Unlevered FCF'!F$14/(1+G$4)^2+'Unlevered FCF'!G$14/(1+G$4)^3+'Unlevered FCF'!H$14/(1+G$4)^4+'Unlevered FCF'!I$14/(1+G$4)^5+'Unlevered FCF'!J$14/(1+G$4)^6)+('Unlevered FCF'!J$14*(1+$A8)/(G$4-$A8))/(1+G$4)^6-'Control Panel'!$B$85-'Control Panel'!$B$87-'Control Panel'!$B$88+'Control Panel'!$B$89+'Control Panel'!$B$90)/'Control Panel'!$B$86</f>
        <v/>
      </c>
      <c r="H8" s="10">
        <f>(('Unlevered FCF'!E$14/(1+H$4)^1+'Unlevered FCF'!F$14/(1+H$4)^2+'Unlevered FCF'!G$14/(1+H$4)^3+'Unlevered FCF'!H$14/(1+H$4)^4+'Unlevered FCF'!I$14/(1+H$4)^5+'Unlevered FCF'!J$14/(1+H$4)^6)+('Unlevered FCF'!J$14*(1+$A8)/(H$4-$A8))/(1+H$4)^6-'Control Panel'!$B$85-'Control Panel'!$B$87-'Control Panel'!$B$88+'Control Panel'!$B$89+'Control Panel'!$B$90)/'Control Panel'!$B$86</f>
        <v/>
      </c>
    </row>
    <row r="9">
      <c r="A9" s="46" t="n">
        <v>0.035</v>
      </c>
      <c r="B9" s="10">
        <f>(('Unlevered FCF'!E$14/(1+B$4)^1+'Unlevered FCF'!F$14/(1+B$4)^2+'Unlevered FCF'!G$14/(1+B$4)^3+'Unlevered FCF'!H$14/(1+B$4)^4+'Unlevered FCF'!I$14/(1+B$4)^5+'Unlevered FCF'!J$14/(1+B$4)^6)+('Unlevered FCF'!J$14*(1+$A9)/(B$4-$A9))/(1+B$4)^6-'Control Panel'!$B$85-'Control Panel'!$B$87-'Control Panel'!$B$88+'Control Panel'!$B$89+'Control Panel'!$B$90)/'Control Panel'!$B$86</f>
        <v/>
      </c>
      <c r="C9" s="10">
        <f>(('Unlevered FCF'!E$14/(1+C$4)^1+'Unlevered FCF'!F$14/(1+C$4)^2+'Unlevered FCF'!G$14/(1+C$4)^3+'Unlevered FCF'!H$14/(1+C$4)^4+'Unlevered FCF'!I$14/(1+C$4)^5+'Unlevered FCF'!J$14/(1+C$4)^6)+('Unlevered FCF'!J$14*(1+$A9)/(C$4-$A9))/(1+C$4)^6-'Control Panel'!$B$85-'Control Panel'!$B$87-'Control Panel'!$B$88+'Control Panel'!$B$89+'Control Panel'!$B$90)/'Control Panel'!$B$86</f>
        <v/>
      </c>
      <c r="D9" s="10">
        <f>(('Unlevered FCF'!E$14/(1+D$4)^1+'Unlevered FCF'!F$14/(1+D$4)^2+'Unlevered FCF'!G$14/(1+D$4)^3+'Unlevered FCF'!H$14/(1+D$4)^4+'Unlevered FCF'!I$14/(1+D$4)^5+'Unlevered FCF'!J$14/(1+D$4)^6)+('Unlevered FCF'!J$14*(1+$A9)/(D$4-$A9))/(1+D$4)^6-'Control Panel'!$B$85-'Control Panel'!$B$87-'Control Panel'!$B$88+'Control Panel'!$B$89+'Control Panel'!$B$90)/'Control Panel'!$B$86</f>
        <v/>
      </c>
      <c r="E9" s="10">
        <f>(('Unlevered FCF'!E$14/(1+E$4)^1+'Unlevered FCF'!F$14/(1+E$4)^2+'Unlevered FCF'!G$14/(1+E$4)^3+'Unlevered FCF'!H$14/(1+E$4)^4+'Unlevered FCF'!I$14/(1+E$4)^5+'Unlevered FCF'!J$14/(1+E$4)^6)+('Unlevered FCF'!J$14*(1+$A9)/(E$4-$A9))/(1+E$4)^6-'Control Panel'!$B$85-'Control Panel'!$B$87-'Control Panel'!$B$88+'Control Panel'!$B$89+'Control Panel'!$B$90)/'Control Panel'!$B$86</f>
        <v/>
      </c>
      <c r="F9" s="10">
        <f>(('Unlevered FCF'!E$14/(1+F$4)^1+'Unlevered FCF'!F$14/(1+F$4)^2+'Unlevered FCF'!G$14/(1+F$4)^3+'Unlevered FCF'!H$14/(1+F$4)^4+'Unlevered FCF'!I$14/(1+F$4)^5+'Unlevered FCF'!J$14/(1+F$4)^6)+('Unlevered FCF'!J$14*(1+$A9)/(F$4-$A9))/(1+F$4)^6-'Control Panel'!$B$85-'Control Panel'!$B$87-'Control Panel'!$B$88+'Control Panel'!$B$89+'Control Panel'!$B$90)/'Control Panel'!$B$86</f>
        <v/>
      </c>
      <c r="G9" s="10">
        <f>(('Unlevered FCF'!E$14/(1+G$4)^1+'Unlevered FCF'!F$14/(1+G$4)^2+'Unlevered FCF'!G$14/(1+G$4)^3+'Unlevered FCF'!H$14/(1+G$4)^4+'Unlevered FCF'!I$14/(1+G$4)^5+'Unlevered FCF'!J$14/(1+G$4)^6)+('Unlevered FCF'!J$14*(1+$A9)/(G$4-$A9))/(1+G$4)^6-'Control Panel'!$B$85-'Control Panel'!$B$87-'Control Panel'!$B$88+'Control Panel'!$B$89+'Control Panel'!$B$90)/'Control Panel'!$B$86</f>
        <v/>
      </c>
      <c r="H9" s="10">
        <f>(('Unlevered FCF'!E$14/(1+H$4)^1+'Unlevered FCF'!F$14/(1+H$4)^2+'Unlevered FCF'!G$14/(1+H$4)^3+'Unlevered FCF'!H$14/(1+H$4)^4+'Unlevered FCF'!I$14/(1+H$4)^5+'Unlevered FCF'!J$14/(1+H$4)^6)+('Unlevered FCF'!J$14*(1+$A9)/(H$4-$A9))/(1+H$4)^6-'Control Panel'!$B$85-'Control Panel'!$B$87-'Control Panel'!$B$88+'Control Panel'!$B$89+'Control Panel'!$B$90)/'Control Panel'!$B$86</f>
        <v/>
      </c>
    </row>
    <row r="10"/>
    <row r="11"/>
    <row r="12">
      <c r="A12" s="2" t="inlineStr">
        <is>
          <t>Implied share price by WACC and exit multiple</t>
        </is>
      </c>
    </row>
    <row r="13">
      <c r="A13" s="18" t="inlineStr">
        <is>
          <t>Exit multiple</t>
        </is>
      </c>
      <c r="B13" s="47" t="n">
        <v>0.075</v>
      </c>
      <c r="C13" s="47" t="n">
        <v>0.08</v>
      </c>
      <c r="D13" s="47" t="n">
        <v>0.08500000000000001</v>
      </c>
      <c r="E13" s="47" t="n">
        <v>0.09</v>
      </c>
      <c r="F13" s="47" t="n">
        <v>0.095</v>
      </c>
      <c r="G13" s="47" t="n">
        <v>0.1</v>
      </c>
      <c r="H13" s="47" t="n">
        <v>0.105</v>
      </c>
    </row>
    <row r="14">
      <c r="A14" s="48" t="n">
        <v>8.5</v>
      </c>
      <c r="B14" s="10">
        <f>(('Unlevered FCF'!E$14/(1+B$13)^1+'Unlevered FCF'!F$14/(1+B$13)^2+'Unlevered FCF'!G$14/(1+B$13)^3+'Unlevered FCF'!H$14/(1+B$13)^4+'Unlevered FCF'!I$14/(1+B$13)^5+'Unlevered FCF'!J$14/(1+B$13)^6)+('Margin Cost Build'!J$12*$A14)/(1+B$13)^6-'Control Panel'!$B$85-'Control Panel'!$B$87-'Control Panel'!$B$88+'Control Panel'!$B$89+'Control Panel'!$B$90)/'Control Panel'!$B$86</f>
        <v/>
      </c>
      <c r="C14" s="10">
        <f>(('Unlevered FCF'!E$14/(1+C$13)^1+'Unlevered FCF'!F$14/(1+C$13)^2+'Unlevered FCF'!G$14/(1+C$13)^3+'Unlevered FCF'!H$14/(1+C$13)^4+'Unlevered FCF'!I$14/(1+C$13)^5+'Unlevered FCF'!J$14/(1+C$13)^6)+('Margin Cost Build'!J$12*$A14)/(1+C$13)^6-'Control Panel'!$B$85-'Control Panel'!$B$87-'Control Panel'!$B$88+'Control Panel'!$B$89+'Control Panel'!$B$90)/'Control Panel'!$B$86</f>
        <v/>
      </c>
      <c r="D14" s="10">
        <f>(('Unlevered FCF'!E$14/(1+D$13)^1+'Unlevered FCF'!F$14/(1+D$13)^2+'Unlevered FCF'!G$14/(1+D$13)^3+'Unlevered FCF'!H$14/(1+D$13)^4+'Unlevered FCF'!I$14/(1+D$13)^5+'Unlevered FCF'!J$14/(1+D$13)^6)+('Margin Cost Build'!J$12*$A14)/(1+D$13)^6-'Control Panel'!$B$85-'Control Panel'!$B$87-'Control Panel'!$B$88+'Control Panel'!$B$89+'Control Panel'!$B$90)/'Control Panel'!$B$86</f>
        <v/>
      </c>
      <c r="E14" s="10">
        <f>(('Unlevered FCF'!E$14/(1+E$13)^1+'Unlevered FCF'!F$14/(1+E$13)^2+'Unlevered FCF'!G$14/(1+E$13)^3+'Unlevered FCF'!H$14/(1+E$13)^4+'Unlevered FCF'!I$14/(1+E$13)^5+'Unlevered FCF'!J$14/(1+E$13)^6)+('Margin Cost Build'!J$12*$A14)/(1+E$13)^6-'Control Panel'!$B$85-'Control Panel'!$B$87-'Control Panel'!$B$88+'Control Panel'!$B$89+'Control Panel'!$B$90)/'Control Panel'!$B$86</f>
        <v/>
      </c>
      <c r="F14" s="10">
        <f>(('Unlevered FCF'!E$14/(1+F$13)^1+'Unlevered FCF'!F$14/(1+F$13)^2+'Unlevered FCF'!G$14/(1+F$13)^3+'Unlevered FCF'!H$14/(1+F$13)^4+'Unlevered FCF'!I$14/(1+F$13)^5+'Unlevered FCF'!J$14/(1+F$13)^6)+('Margin Cost Build'!J$12*$A14)/(1+F$13)^6-'Control Panel'!$B$85-'Control Panel'!$B$87-'Control Panel'!$B$88+'Control Panel'!$B$89+'Control Panel'!$B$90)/'Control Panel'!$B$86</f>
        <v/>
      </c>
      <c r="G14" s="10">
        <f>(('Unlevered FCF'!E$14/(1+G$13)^1+'Unlevered FCF'!F$14/(1+G$13)^2+'Unlevered FCF'!G$14/(1+G$13)^3+'Unlevered FCF'!H$14/(1+G$13)^4+'Unlevered FCF'!I$14/(1+G$13)^5+'Unlevered FCF'!J$14/(1+G$13)^6)+('Margin Cost Build'!J$12*$A14)/(1+G$13)^6-'Control Panel'!$B$85-'Control Panel'!$B$87-'Control Panel'!$B$88+'Control Panel'!$B$89+'Control Panel'!$B$90)/'Control Panel'!$B$86</f>
        <v/>
      </c>
      <c r="H14" s="10">
        <f>(('Unlevered FCF'!E$14/(1+H$13)^1+'Unlevered FCF'!F$14/(1+H$13)^2+'Unlevered FCF'!G$14/(1+H$13)^3+'Unlevered FCF'!H$14/(1+H$13)^4+'Unlevered FCF'!I$14/(1+H$13)^5+'Unlevered FCF'!J$14/(1+H$13)^6)+('Margin Cost Build'!J$12*$A14)/(1+H$13)^6-'Control Panel'!$B$85-'Control Panel'!$B$87-'Control Panel'!$B$88+'Control Panel'!$B$89+'Control Panel'!$B$90)/'Control Panel'!$B$86</f>
        <v/>
      </c>
    </row>
    <row r="15">
      <c r="A15" s="48" t="n">
        <v>9.5</v>
      </c>
      <c r="B15" s="10">
        <f>(('Unlevered FCF'!E$14/(1+B$13)^1+'Unlevered FCF'!F$14/(1+B$13)^2+'Unlevered FCF'!G$14/(1+B$13)^3+'Unlevered FCF'!H$14/(1+B$13)^4+'Unlevered FCF'!I$14/(1+B$13)^5+'Unlevered FCF'!J$14/(1+B$13)^6)+('Margin Cost Build'!J$12*$A15)/(1+B$13)^6-'Control Panel'!$B$85-'Control Panel'!$B$87-'Control Panel'!$B$88+'Control Panel'!$B$89+'Control Panel'!$B$90)/'Control Panel'!$B$86</f>
        <v/>
      </c>
      <c r="C15" s="10">
        <f>(('Unlevered FCF'!E$14/(1+C$13)^1+'Unlevered FCF'!F$14/(1+C$13)^2+'Unlevered FCF'!G$14/(1+C$13)^3+'Unlevered FCF'!H$14/(1+C$13)^4+'Unlevered FCF'!I$14/(1+C$13)^5+'Unlevered FCF'!J$14/(1+C$13)^6)+('Margin Cost Build'!J$12*$A15)/(1+C$13)^6-'Control Panel'!$B$85-'Control Panel'!$B$87-'Control Panel'!$B$88+'Control Panel'!$B$89+'Control Panel'!$B$90)/'Control Panel'!$B$86</f>
        <v/>
      </c>
      <c r="D15" s="10">
        <f>(('Unlevered FCF'!E$14/(1+D$13)^1+'Unlevered FCF'!F$14/(1+D$13)^2+'Unlevered FCF'!G$14/(1+D$13)^3+'Unlevered FCF'!H$14/(1+D$13)^4+'Unlevered FCF'!I$14/(1+D$13)^5+'Unlevered FCF'!J$14/(1+D$13)^6)+('Margin Cost Build'!J$12*$A15)/(1+D$13)^6-'Control Panel'!$B$85-'Control Panel'!$B$87-'Control Panel'!$B$88+'Control Panel'!$B$89+'Control Panel'!$B$90)/'Control Panel'!$B$86</f>
        <v/>
      </c>
      <c r="E15" s="10">
        <f>(('Unlevered FCF'!E$14/(1+E$13)^1+'Unlevered FCF'!F$14/(1+E$13)^2+'Unlevered FCF'!G$14/(1+E$13)^3+'Unlevered FCF'!H$14/(1+E$13)^4+'Unlevered FCF'!I$14/(1+E$13)^5+'Unlevered FCF'!J$14/(1+E$13)^6)+('Margin Cost Build'!J$12*$A15)/(1+E$13)^6-'Control Panel'!$B$85-'Control Panel'!$B$87-'Control Panel'!$B$88+'Control Panel'!$B$89+'Control Panel'!$B$90)/'Control Panel'!$B$86</f>
        <v/>
      </c>
      <c r="F15" s="10">
        <f>(('Unlevered FCF'!E$14/(1+F$13)^1+'Unlevered FCF'!F$14/(1+F$13)^2+'Unlevered FCF'!G$14/(1+F$13)^3+'Unlevered FCF'!H$14/(1+F$13)^4+'Unlevered FCF'!I$14/(1+F$13)^5+'Unlevered FCF'!J$14/(1+F$13)^6)+('Margin Cost Build'!J$12*$A15)/(1+F$13)^6-'Control Panel'!$B$85-'Control Panel'!$B$87-'Control Panel'!$B$88+'Control Panel'!$B$89+'Control Panel'!$B$90)/'Control Panel'!$B$86</f>
        <v/>
      </c>
      <c r="G15" s="10">
        <f>(('Unlevered FCF'!E$14/(1+G$13)^1+'Unlevered FCF'!F$14/(1+G$13)^2+'Unlevered FCF'!G$14/(1+G$13)^3+'Unlevered FCF'!H$14/(1+G$13)^4+'Unlevered FCF'!I$14/(1+G$13)^5+'Unlevered FCF'!J$14/(1+G$13)^6)+('Margin Cost Build'!J$12*$A15)/(1+G$13)^6-'Control Panel'!$B$85-'Control Panel'!$B$87-'Control Panel'!$B$88+'Control Panel'!$B$89+'Control Panel'!$B$90)/'Control Panel'!$B$86</f>
        <v/>
      </c>
      <c r="H15" s="10">
        <f>(('Unlevered FCF'!E$14/(1+H$13)^1+'Unlevered FCF'!F$14/(1+H$13)^2+'Unlevered FCF'!G$14/(1+H$13)^3+'Unlevered FCF'!H$14/(1+H$13)^4+'Unlevered FCF'!I$14/(1+H$13)^5+'Unlevered FCF'!J$14/(1+H$13)^6)+('Margin Cost Build'!J$12*$A15)/(1+H$13)^6-'Control Panel'!$B$85-'Control Panel'!$B$87-'Control Panel'!$B$88+'Control Panel'!$B$89+'Control Panel'!$B$90)/'Control Panel'!$B$86</f>
        <v/>
      </c>
    </row>
    <row r="16">
      <c r="A16" s="48" t="n">
        <v>10.5</v>
      </c>
      <c r="B16" s="10">
        <f>(('Unlevered FCF'!E$14/(1+B$13)^1+'Unlevered FCF'!F$14/(1+B$13)^2+'Unlevered FCF'!G$14/(1+B$13)^3+'Unlevered FCF'!H$14/(1+B$13)^4+'Unlevered FCF'!I$14/(1+B$13)^5+'Unlevered FCF'!J$14/(1+B$13)^6)+('Margin Cost Build'!J$12*$A16)/(1+B$13)^6-'Control Panel'!$B$85-'Control Panel'!$B$87-'Control Panel'!$B$88+'Control Panel'!$B$89+'Control Panel'!$B$90)/'Control Panel'!$B$86</f>
        <v/>
      </c>
      <c r="C16" s="10">
        <f>(('Unlevered FCF'!E$14/(1+C$13)^1+'Unlevered FCF'!F$14/(1+C$13)^2+'Unlevered FCF'!G$14/(1+C$13)^3+'Unlevered FCF'!H$14/(1+C$13)^4+'Unlevered FCF'!I$14/(1+C$13)^5+'Unlevered FCF'!J$14/(1+C$13)^6)+('Margin Cost Build'!J$12*$A16)/(1+C$13)^6-'Control Panel'!$B$85-'Control Panel'!$B$87-'Control Panel'!$B$88+'Control Panel'!$B$89+'Control Panel'!$B$90)/'Control Panel'!$B$86</f>
        <v/>
      </c>
      <c r="D16" s="10">
        <f>(('Unlevered FCF'!E$14/(1+D$13)^1+'Unlevered FCF'!F$14/(1+D$13)^2+'Unlevered FCF'!G$14/(1+D$13)^3+'Unlevered FCF'!H$14/(1+D$13)^4+'Unlevered FCF'!I$14/(1+D$13)^5+'Unlevered FCF'!J$14/(1+D$13)^6)+('Margin Cost Build'!J$12*$A16)/(1+D$13)^6-'Control Panel'!$B$85-'Control Panel'!$B$87-'Control Panel'!$B$88+'Control Panel'!$B$89+'Control Panel'!$B$90)/'Control Panel'!$B$86</f>
        <v/>
      </c>
      <c r="E16" s="10">
        <f>(('Unlevered FCF'!E$14/(1+E$13)^1+'Unlevered FCF'!F$14/(1+E$13)^2+'Unlevered FCF'!G$14/(1+E$13)^3+'Unlevered FCF'!H$14/(1+E$13)^4+'Unlevered FCF'!I$14/(1+E$13)^5+'Unlevered FCF'!J$14/(1+E$13)^6)+('Margin Cost Build'!J$12*$A16)/(1+E$13)^6-'Control Panel'!$B$85-'Control Panel'!$B$87-'Control Panel'!$B$88+'Control Panel'!$B$89+'Control Panel'!$B$90)/'Control Panel'!$B$86</f>
        <v/>
      </c>
      <c r="F16" s="10">
        <f>(('Unlevered FCF'!E$14/(1+F$13)^1+'Unlevered FCF'!F$14/(1+F$13)^2+'Unlevered FCF'!G$14/(1+F$13)^3+'Unlevered FCF'!H$14/(1+F$13)^4+'Unlevered FCF'!I$14/(1+F$13)^5+'Unlevered FCF'!J$14/(1+F$13)^6)+('Margin Cost Build'!J$12*$A16)/(1+F$13)^6-'Control Panel'!$B$85-'Control Panel'!$B$87-'Control Panel'!$B$88+'Control Panel'!$B$89+'Control Panel'!$B$90)/'Control Panel'!$B$86</f>
        <v/>
      </c>
      <c r="G16" s="10">
        <f>(('Unlevered FCF'!E$14/(1+G$13)^1+'Unlevered FCF'!F$14/(1+G$13)^2+'Unlevered FCF'!G$14/(1+G$13)^3+'Unlevered FCF'!H$14/(1+G$13)^4+'Unlevered FCF'!I$14/(1+G$13)^5+'Unlevered FCF'!J$14/(1+G$13)^6)+('Margin Cost Build'!J$12*$A16)/(1+G$13)^6-'Control Panel'!$B$85-'Control Panel'!$B$87-'Control Panel'!$B$88+'Control Panel'!$B$89+'Control Panel'!$B$90)/'Control Panel'!$B$86</f>
        <v/>
      </c>
      <c r="H16" s="10">
        <f>(('Unlevered FCF'!E$14/(1+H$13)^1+'Unlevered FCF'!F$14/(1+H$13)^2+'Unlevered FCF'!G$14/(1+H$13)^3+'Unlevered FCF'!H$14/(1+H$13)^4+'Unlevered FCF'!I$14/(1+H$13)^5+'Unlevered FCF'!J$14/(1+H$13)^6)+('Margin Cost Build'!J$12*$A16)/(1+H$13)^6-'Control Panel'!$B$85-'Control Panel'!$B$87-'Control Panel'!$B$88+'Control Panel'!$B$89+'Control Panel'!$B$90)/'Control Panel'!$B$86</f>
        <v/>
      </c>
    </row>
    <row r="17">
      <c r="A17" s="48" t="n">
        <v>11.5</v>
      </c>
      <c r="B17" s="10">
        <f>(('Unlevered FCF'!E$14/(1+B$13)^1+'Unlevered FCF'!F$14/(1+B$13)^2+'Unlevered FCF'!G$14/(1+B$13)^3+'Unlevered FCF'!H$14/(1+B$13)^4+'Unlevered FCF'!I$14/(1+B$13)^5+'Unlevered FCF'!J$14/(1+B$13)^6)+('Margin Cost Build'!J$12*$A17)/(1+B$13)^6-'Control Panel'!$B$85-'Control Panel'!$B$87-'Control Panel'!$B$88+'Control Panel'!$B$89+'Control Panel'!$B$90)/'Control Panel'!$B$86</f>
        <v/>
      </c>
      <c r="C17" s="10">
        <f>(('Unlevered FCF'!E$14/(1+C$13)^1+'Unlevered FCF'!F$14/(1+C$13)^2+'Unlevered FCF'!G$14/(1+C$13)^3+'Unlevered FCF'!H$14/(1+C$13)^4+'Unlevered FCF'!I$14/(1+C$13)^5+'Unlevered FCF'!J$14/(1+C$13)^6)+('Margin Cost Build'!J$12*$A17)/(1+C$13)^6-'Control Panel'!$B$85-'Control Panel'!$B$87-'Control Panel'!$B$88+'Control Panel'!$B$89+'Control Panel'!$B$90)/'Control Panel'!$B$86</f>
        <v/>
      </c>
      <c r="D17" s="10">
        <f>(('Unlevered FCF'!E$14/(1+D$13)^1+'Unlevered FCF'!F$14/(1+D$13)^2+'Unlevered FCF'!G$14/(1+D$13)^3+'Unlevered FCF'!H$14/(1+D$13)^4+'Unlevered FCF'!I$14/(1+D$13)^5+'Unlevered FCF'!J$14/(1+D$13)^6)+('Margin Cost Build'!J$12*$A17)/(1+D$13)^6-'Control Panel'!$B$85-'Control Panel'!$B$87-'Control Panel'!$B$88+'Control Panel'!$B$89+'Control Panel'!$B$90)/'Control Panel'!$B$86</f>
        <v/>
      </c>
      <c r="E17" s="10">
        <f>(('Unlevered FCF'!E$14/(1+E$13)^1+'Unlevered FCF'!F$14/(1+E$13)^2+'Unlevered FCF'!G$14/(1+E$13)^3+'Unlevered FCF'!H$14/(1+E$13)^4+'Unlevered FCF'!I$14/(1+E$13)^5+'Unlevered FCF'!J$14/(1+E$13)^6)+('Margin Cost Build'!J$12*$A17)/(1+E$13)^6-'Control Panel'!$B$85-'Control Panel'!$B$87-'Control Panel'!$B$88+'Control Panel'!$B$89+'Control Panel'!$B$90)/'Control Panel'!$B$86</f>
        <v/>
      </c>
      <c r="F17" s="10">
        <f>(('Unlevered FCF'!E$14/(1+F$13)^1+'Unlevered FCF'!F$14/(1+F$13)^2+'Unlevered FCF'!G$14/(1+F$13)^3+'Unlevered FCF'!H$14/(1+F$13)^4+'Unlevered FCF'!I$14/(1+F$13)^5+'Unlevered FCF'!J$14/(1+F$13)^6)+('Margin Cost Build'!J$12*$A17)/(1+F$13)^6-'Control Panel'!$B$85-'Control Panel'!$B$87-'Control Panel'!$B$88+'Control Panel'!$B$89+'Control Panel'!$B$90)/'Control Panel'!$B$86</f>
        <v/>
      </c>
      <c r="G17" s="10">
        <f>(('Unlevered FCF'!E$14/(1+G$13)^1+'Unlevered FCF'!F$14/(1+G$13)^2+'Unlevered FCF'!G$14/(1+G$13)^3+'Unlevered FCF'!H$14/(1+G$13)^4+'Unlevered FCF'!I$14/(1+G$13)^5+'Unlevered FCF'!J$14/(1+G$13)^6)+('Margin Cost Build'!J$12*$A17)/(1+G$13)^6-'Control Panel'!$B$85-'Control Panel'!$B$87-'Control Panel'!$B$88+'Control Panel'!$B$89+'Control Panel'!$B$90)/'Control Panel'!$B$86</f>
        <v/>
      </c>
      <c r="H17" s="10">
        <f>(('Unlevered FCF'!E$14/(1+H$13)^1+'Unlevered FCF'!F$14/(1+H$13)^2+'Unlevered FCF'!G$14/(1+H$13)^3+'Unlevered FCF'!H$14/(1+H$13)^4+'Unlevered FCF'!I$14/(1+H$13)^5+'Unlevered FCF'!J$14/(1+H$13)^6)+('Margin Cost Build'!J$12*$A17)/(1+H$13)^6-'Control Panel'!$B$85-'Control Panel'!$B$87-'Control Panel'!$B$88+'Control Panel'!$B$89+'Control Panel'!$B$90)/'Control Panel'!$B$86</f>
        <v/>
      </c>
    </row>
    <row r="18">
      <c r="A18" s="48" t="n">
        <v>12.5</v>
      </c>
      <c r="B18" s="10">
        <f>(('Unlevered FCF'!E$14/(1+B$13)^1+'Unlevered FCF'!F$14/(1+B$13)^2+'Unlevered FCF'!G$14/(1+B$13)^3+'Unlevered FCF'!H$14/(1+B$13)^4+'Unlevered FCF'!I$14/(1+B$13)^5+'Unlevered FCF'!J$14/(1+B$13)^6)+('Margin Cost Build'!J$12*$A18)/(1+B$13)^6-'Control Panel'!$B$85-'Control Panel'!$B$87-'Control Panel'!$B$88+'Control Panel'!$B$89+'Control Panel'!$B$90)/'Control Panel'!$B$86</f>
        <v/>
      </c>
      <c r="C18" s="10">
        <f>(('Unlevered FCF'!E$14/(1+C$13)^1+'Unlevered FCF'!F$14/(1+C$13)^2+'Unlevered FCF'!G$14/(1+C$13)^3+'Unlevered FCF'!H$14/(1+C$13)^4+'Unlevered FCF'!I$14/(1+C$13)^5+'Unlevered FCF'!J$14/(1+C$13)^6)+('Margin Cost Build'!J$12*$A18)/(1+C$13)^6-'Control Panel'!$B$85-'Control Panel'!$B$87-'Control Panel'!$B$88+'Control Panel'!$B$89+'Control Panel'!$B$90)/'Control Panel'!$B$86</f>
        <v/>
      </c>
      <c r="D18" s="10">
        <f>(('Unlevered FCF'!E$14/(1+D$13)^1+'Unlevered FCF'!F$14/(1+D$13)^2+'Unlevered FCF'!G$14/(1+D$13)^3+'Unlevered FCF'!H$14/(1+D$13)^4+'Unlevered FCF'!I$14/(1+D$13)^5+'Unlevered FCF'!J$14/(1+D$13)^6)+('Margin Cost Build'!J$12*$A18)/(1+D$13)^6-'Control Panel'!$B$85-'Control Panel'!$B$87-'Control Panel'!$B$88+'Control Panel'!$B$89+'Control Panel'!$B$90)/'Control Panel'!$B$86</f>
        <v/>
      </c>
      <c r="E18" s="10">
        <f>(('Unlevered FCF'!E$14/(1+E$13)^1+'Unlevered FCF'!F$14/(1+E$13)^2+'Unlevered FCF'!G$14/(1+E$13)^3+'Unlevered FCF'!H$14/(1+E$13)^4+'Unlevered FCF'!I$14/(1+E$13)^5+'Unlevered FCF'!J$14/(1+E$13)^6)+('Margin Cost Build'!J$12*$A18)/(1+E$13)^6-'Control Panel'!$B$85-'Control Panel'!$B$87-'Control Panel'!$B$88+'Control Panel'!$B$89+'Control Panel'!$B$90)/'Control Panel'!$B$86</f>
        <v/>
      </c>
      <c r="F18" s="10">
        <f>(('Unlevered FCF'!E$14/(1+F$13)^1+'Unlevered FCF'!F$14/(1+F$13)^2+'Unlevered FCF'!G$14/(1+F$13)^3+'Unlevered FCF'!H$14/(1+F$13)^4+'Unlevered FCF'!I$14/(1+F$13)^5+'Unlevered FCF'!J$14/(1+F$13)^6)+('Margin Cost Build'!J$12*$A18)/(1+F$13)^6-'Control Panel'!$B$85-'Control Panel'!$B$87-'Control Panel'!$B$88+'Control Panel'!$B$89+'Control Panel'!$B$90)/'Control Panel'!$B$86</f>
        <v/>
      </c>
      <c r="G18" s="10">
        <f>(('Unlevered FCF'!E$14/(1+G$13)^1+'Unlevered FCF'!F$14/(1+G$13)^2+'Unlevered FCF'!G$14/(1+G$13)^3+'Unlevered FCF'!H$14/(1+G$13)^4+'Unlevered FCF'!I$14/(1+G$13)^5+'Unlevered FCF'!J$14/(1+G$13)^6)+('Margin Cost Build'!J$12*$A18)/(1+G$13)^6-'Control Panel'!$B$85-'Control Panel'!$B$87-'Control Panel'!$B$88+'Control Panel'!$B$89+'Control Panel'!$B$90)/'Control Panel'!$B$86</f>
        <v/>
      </c>
      <c r="H18" s="10">
        <f>(('Unlevered FCF'!E$14/(1+H$13)^1+'Unlevered FCF'!F$14/(1+H$13)^2+'Unlevered FCF'!G$14/(1+H$13)^3+'Unlevered FCF'!H$14/(1+H$13)^4+'Unlevered FCF'!I$14/(1+H$13)^5+'Unlevered FCF'!J$14/(1+H$13)^6)+('Margin Cost Build'!J$12*$A18)/(1+H$13)^6-'Control Panel'!$B$85-'Control Panel'!$B$87-'Control Panel'!$B$88+'Control Panel'!$B$89+'Control Panel'!$B$90)/'Control Panel'!$B$86</f>
        <v/>
      </c>
    </row>
    <row r="19"/>
    <row r="20"/>
    <row r="21">
      <c r="A21" s="2" t="inlineStr">
        <is>
          <t>Enterprise value by revenue CAGR and EBITDA margin</t>
        </is>
      </c>
    </row>
    <row r="22">
      <c r="A22" s="18" t="inlineStr">
        <is>
          <t>EBITDA margin</t>
        </is>
      </c>
      <c r="B22" s="47" t="n">
        <v>0.04</v>
      </c>
      <c r="C22" s="47" t="n">
        <v>0.06</v>
      </c>
      <c r="D22" s="47" t="n">
        <v>0.08</v>
      </c>
      <c r="E22" s="47" t="n">
        <v>0.1</v>
      </c>
      <c r="F22" s="47" t="n">
        <v>0.12</v>
      </c>
      <c r="G22" s="47" t="n">
        <v>0.14</v>
      </c>
      <c r="H22" s="47" t="n">
        <v>0.16</v>
      </c>
    </row>
    <row r="23">
      <c r="A23" s="46" t="n">
        <v>0.23</v>
      </c>
      <c r="B23" s="9">
        <f>SUM('Unlevered FCF'!$E$17:$J$17)+(('Revenue Build'!$D$14*(1+B$22)^6)*$A23*'Control Panel'!$B$84)/(1+'Control Panel'!$B$78)^6</f>
        <v/>
      </c>
      <c r="C23" s="9">
        <f>SUM('Unlevered FCF'!$E$17:$J$17)+(('Revenue Build'!$D$14*(1+C$22)^6)*$A23*'Control Panel'!$B$84)/(1+'Control Panel'!$B$78)^6</f>
        <v/>
      </c>
      <c r="D23" s="9">
        <f>SUM('Unlevered FCF'!$E$17:$J$17)+(('Revenue Build'!$D$14*(1+D$22)^6)*$A23*'Control Panel'!$B$84)/(1+'Control Panel'!$B$78)^6</f>
        <v/>
      </c>
      <c r="E23" s="9">
        <f>SUM('Unlevered FCF'!$E$17:$J$17)+(('Revenue Build'!$D$14*(1+E$22)^6)*$A23*'Control Panel'!$B$84)/(1+'Control Panel'!$B$78)^6</f>
        <v/>
      </c>
      <c r="F23" s="9">
        <f>SUM('Unlevered FCF'!$E$17:$J$17)+(('Revenue Build'!$D$14*(1+F$22)^6)*$A23*'Control Panel'!$B$84)/(1+'Control Panel'!$B$78)^6</f>
        <v/>
      </c>
      <c r="G23" s="9">
        <f>SUM('Unlevered FCF'!$E$17:$J$17)+(('Revenue Build'!$D$14*(1+G$22)^6)*$A23*'Control Panel'!$B$84)/(1+'Control Panel'!$B$78)^6</f>
        <v/>
      </c>
      <c r="H23" s="9">
        <f>SUM('Unlevered FCF'!$E$17:$J$17)+(('Revenue Build'!$D$14*(1+H$22)^6)*$A23*'Control Panel'!$B$84)/(1+'Control Panel'!$B$78)^6</f>
        <v/>
      </c>
    </row>
    <row r="24">
      <c r="A24" s="46" t="n">
        <v>0.25</v>
      </c>
      <c r="B24" s="9">
        <f>SUM('Unlevered FCF'!$E$17:$J$17)+(('Revenue Build'!$D$14*(1+B$22)^6)*$A24*'Control Panel'!$B$84)/(1+'Control Panel'!$B$78)^6</f>
        <v/>
      </c>
      <c r="C24" s="9">
        <f>SUM('Unlevered FCF'!$E$17:$J$17)+(('Revenue Build'!$D$14*(1+C$22)^6)*$A24*'Control Panel'!$B$84)/(1+'Control Panel'!$B$78)^6</f>
        <v/>
      </c>
      <c r="D24" s="9">
        <f>SUM('Unlevered FCF'!$E$17:$J$17)+(('Revenue Build'!$D$14*(1+D$22)^6)*$A24*'Control Panel'!$B$84)/(1+'Control Panel'!$B$78)^6</f>
        <v/>
      </c>
      <c r="E24" s="9">
        <f>SUM('Unlevered FCF'!$E$17:$J$17)+(('Revenue Build'!$D$14*(1+E$22)^6)*$A24*'Control Panel'!$B$84)/(1+'Control Panel'!$B$78)^6</f>
        <v/>
      </c>
      <c r="F24" s="9">
        <f>SUM('Unlevered FCF'!$E$17:$J$17)+(('Revenue Build'!$D$14*(1+F$22)^6)*$A24*'Control Panel'!$B$84)/(1+'Control Panel'!$B$78)^6</f>
        <v/>
      </c>
      <c r="G24" s="9">
        <f>SUM('Unlevered FCF'!$E$17:$J$17)+(('Revenue Build'!$D$14*(1+G$22)^6)*$A24*'Control Panel'!$B$84)/(1+'Control Panel'!$B$78)^6</f>
        <v/>
      </c>
      <c r="H24" s="9">
        <f>SUM('Unlevered FCF'!$E$17:$J$17)+(('Revenue Build'!$D$14*(1+H$22)^6)*$A24*'Control Panel'!$B$84)/(1+'Control Panel'!$B$78)^6</f>
        <v/>
      </c>
    </row>
    <row r="25">
      <c r="A25" s="46" t="n">
        <v>0.27</v>
      </c>
      <c r="B25" s="9">
        <f>SUM('Unlevered FCF'!$E$17:$J$17)+(('Revenue Build'!$D$14*(1+B$22)^6)*$A25*'Control Panel'!$B$84)/(1+'Control Panel'!$B$78)^6</f>
        <v/>
      </c>
      <c r="C25" s="9">
        <f>SUM('Unlevered FCF'!$E$17:$J$17)+(('Revenue Build'!$D$14*(1+C$22)^6)*$A25*'Control Panel'!$B$84)/(1+'Control Panel'!$B$78)^6</f>
        <v/>
      </c>
      <c r="D25" s="9">
        <f>SUM('Unlevered FCF'!$E$17:$J$17)+(('Revenue Build'!$D$14*(1+D$22)^6)*$A25*'Control Panel'!$B$84)/(1+'Control Panel'!$B$78)^6</f>
        <v/>
      </c>
      <c r="E25" s="9">
        <f>SUM('Unlevered FCF'!$E$17:$J$17)+(('Revenue Build'!$D$14*(1+E$22)^6)*$A25*'Control Panel'!$B$84)/(1+'Control Panel'!$B$78)^6</f>
        <v/>
      </c>
      <c r="F25" s="9">
        <f>SUM('Unlevered FCF'!$E$17:$J$17)+(('Revenue Build'!$D$14*(1+F$22)^6)*$A25*'Control Panel'!$B$84)/(1+'Control Panel'!$B$78)^6</f>
        <v/>
      </c>
      <c r="G25" s="9">
        <f>SUM('Unlevered FCF'!$E$17:$J$17)+(('Revenue Build'!$D$14*(1+G$22)^6)*$A25*'Control Panel'!$B$84)/(1+'Control Panel'!$B$78)^6</f>
        <v/>
      </c>
      <c r="H25" s="9">
        <f>SUM('Unlevered FCF'!$E$17:$J$17)+(('Revenue Build'!$D$14*(1+H$22)^6)*$A25*'Control Panel'!$B$84)/(1+'Control Panel'!$B$78)^6</f>
        <v/>
      </c>
    </row>
    <row r="26">
      <c r="A26" s="46" t="n">
        <v>0.29</v>
      </c>
      <c r="B26" s="9">
        <f>SUM('Unlevered FCF'!$E$17:$J$17)+(('Revenue Build'!$D$14*(1+B$22)^6)*$A26*'Control Panel'!$B$84)/(1+'Control Panel'!$B$78)^6</f>
        <v/>
      </c>
      <c r="C26" s="9">
        <f>SUM('Unlevered FCF'!$E$17:$J$17)+(('Revenue Build'!$D$14*(1+C$22)^6)*$A26*'Control Panel'!$B$84)/(1+'Control Panel'!$B$78)^6</f>
        <v/>
      </c>
      <c r="D26" s="9">
        <f>SUM('Unlevered FCF'!$E$17:$J$17)+(('Revenue Build'!$D$14*(1+D$22)^6)*$A26*'Control Panel'!$B$84)/(1+'Control Panel'!$B$78)^6</f>
        <v/>
      </c>
      <c r="E26" s="9">
        <f>SUM('Unlevered FCF'!$E$17:$J$17)+(('Revenue Build'!$D$14*(1+E$22)^6)*$A26*'Control Panel'!$B$84)/(1+'Control Panel'!$B$78)^6</f>
        <v/>
      </c>
      <c r="F26" s="9">
        <f>SUM('Unlevered FCF'!$E$17:$J$17)+(('Revenue Build'!$D$14*(1+F$22)^6)*$A26*'Control Panel'!$B$84)/(1+'Control Panel'!$B$78)^6</f>
        <v/>
      </c>
      <c r="G26" s="9">
        <f>SUM('Unlevered FCF'!$E$17:$J$17)+(('Revenue Build'!$D$14*(1+G$22)^6)*$A26*'Control Panel'!$B$84)/(1+'Control Panel'!$B$78)^6</f>
        <v/>
      </c>
      <c r="H26" s="9">
        <f>SUM('Unlevered FCF'!$E$17:$J$17)+(('Revenue Build'!$D$14*(1+H$22)^6)*$A26*'Control Panel'!$B$84)/(1+'Control Panel'!$B$78)^6</f>
        <v/>
      </c>
    </row>
    <row r="27">
      <c r="A27" s="46" t="n">
        <v>0.31</v>
      </c>
      <c r="B27" s="9">
        <f>SUM('Unlevered FCF'!$E$17:$J$17)+(('Revenue Build'!$D$14*(1+B$22)^6)*$A27*'Control Panel'!$B$84)/(1+'Control Panel'!$B$78)^6</f>
        <v/>
      </c>
      <c r="C27" s="9">
        <f>SUM('Unlevered FCF'!$E$17:$J$17)+(('Revenue Build'!$D$14*(1+C$22)^6)*$A27*'Control Panel'!$B$84)/(1+'Control Panel'!$B$78)^6</f>
        <v/>
      </c>
      <c r="D27" s="9">
        <f>SUM('Unlevered FCF'!$E$17:$J$17)+(('Revenue Build'!$D$14*(1+D$22)^6)*$A27*'Control Panel'!$B$84)/(1+'Control Panel'!$B$78)^6</f>
        <v/>
      </c>
      <c r="E27" s="9">
        <f>SUM('Unlevered FCF'!$E$17:$J$17)+(('Revenue Build'!$D$14*(1+E$22)^6)*$A27*'Control Panel'!$B$84)/(1+'Control Panel'!$B$78)^6</f>
        <v/>
      </c>
      <c r="F27" s="9">
        <f>SUM('Unlevered FCF'!$E$17:$J$17)+(('Revenue Build'!$D$14*(1+F$22)^6)*$A27*'Control Panel'!$B$84)/(1+'Control Panel'!$B$78)^6</f>
        <v/>
      </c>
      <c r="G27" s="9">
        <f>SUM('Unlevered FCF'!$E$17:$J$17)+(('Revenue Build'!$D$14*(1+G$22)^6)*$A27*'Control Panel'!$B$84)/(1+'Control Panel'!$B$78)^6</f>
        <v/>
      </c>
      <c r="H27" s="9">
        <f>SUM('Unlevered FCF'!$E$17:$J$17)+(('Revenue Build'!$D$14*(1+H$22)^6)*$A27*'Control Panel'!$B$84)/(1+'Control Panel'!$B$78)^6</f>
        <v/>
      </c>
    </row>
    <row r="28"/>
    <row r="29"/>
    <row r="30">
      <c r="A30" s="2" t="inlineStr">
        <is>
          <t>Equity value by WACC and terminal growth</t>
        </is>
      </c>
    </row>
    <row r="31">
      <c r="A31" s="18" t="inlineStr">
        <is>
          <t>Terminal growth</t>
        </is>
      </c>
      <c r="B31" s="47" t="n">
        <v>0.075</v>
      </c>
      <c r="C31" s="47" t="n">
        <v>0.08</v>
      </c>
      <c r="D31" s="47" t="n">
        <v>0.08500000000000001</v>
      </c>
      <c r="E31" s="47" t="n">
        <v>0.09</v>
      </c>
      <c r="F31" s="47" t="n">
        <v>0.095</v>
      </c>
      <c r="G31" s="47" t="n">
        <v>0.1</v>
      </c>
      <c r="H31" s="47" t="n">
        <v>0.105</v>
      </c>
    </row>
    <row r="32">
      <c r="A32" s="46" t="n">
        <v>0.015</v>
      </c>
      <c r="B32" s="9">
        <f>(('Unlevered FCF'!E$14/(1+B$31)^1+'Unlevered FCF'!F$14/(1+B$31)^2+'Unlevered FCF'!G$14/(1+B$31)^3+'Unlevered FCF'!H$14/(1+B$31)^4+'Unlevered FCF'!I$14/(1+B$31)^5+'Unlevered FCF'!J$14/(1+B$31)^6)+('Unlevered FCF'!J$14*(1+$A32)/(B$31-$A32))/(1+B$31)^6-'Control Panel'!$B$85-'Control Panel'!$B$87-'Control Panel'!$B$88+'Control Panel'!$B$89+'Control Panel'!$B$90)</f>
        <v/>
      </c>
      <c r="C32" s="9">
        <f>(('Unlevered FCF'!E$14/(1+C$31)^1+'Unlevered FCF'!F$14/(1+C$31)^2+'Unlevered FCF'!G$14/(1+C$31)^3+'Unlevered FCF'!H$14/(1+C$31)^4+'Unlevered FCF'!I$14/(1+C$31)^5+'Unlevered FCF'!J$14/(1+C$31)^6)+('Unlevered FCF'!J$14*(1+$A32)/(C$31-$A32))/(1+C$31)^6-'Control Panel'!$B$85-'Control Panel'!$B$87-'Control Panel'!$B$88+'Control Panel'!$B$89+'Control Panel'!$B$90)</f>
        <v/>
      </c>
      <c r="D32" s="9">
        <f>(('Unlevered FCF'!E$14/(1+D$31)^1+'Unlevered FCF'!F$14/(1+D$31)^2+'Unlevered FCF'!G$14/(1+D$31)^3+'Unlevered FCF'!H$14/(1+D$31)^4+'Unlevered FCF'!I$14/(1+D$31)^5+'Unlevered FCF'!J$14/(1+D$31)^6)+('Unlevered FCF'!J$14*(1+$A32)/(D$31-$A32))/(1+D$31)^6-'Control Panel'!$B$85-'Control Panel'!$B$87-'Control Panel'!$B$88+'Control Panel'!$B$89+'Control Panel'!$B$90)</f>
        <v/>
      </c>
      <c r="E32" s="9">
        <f>(('Unlevered FCF'!E$14/(1+E$31)^1+'Unlevered FCF'!F$14/(1+E$31)^2+'Unlevered FCF'!G$14/(1+E$31)^3+'Unlevered FCF'!H$14/(1+E$31)^4+'Unlevered FCF'!I$14/(1+E$31)^5+'Unlevered FCF'!J$14/(1+E$31)^6)+('Unlevered FCF'!J$14*(1+$A32)/(E$31-$A32))/(1+E$31)^6-'Control Panel'!$B$85-'Control Panel'!$B$87-'Control Panel'!$B$88+'Control Panel'!$B$89+'Control Panel'!$B$90)</f>
        <v/>
      </c>
      <c r="F32" s="9">
        <f>(('Unlevered FCF'!E$14/(1+F$31)^1+'Unlevered FCF'!F$14/(1+F$31)^2+'Unlevered FCF'!G$14/(1+F$31)^3+'Unlevered FCF'!H$14/(1+F$31)^4+'Unlevered FCF'!I$14/(1+F$31)^5+'Unlevered FCF'!J$14/(1+F$31)^6)+('Unlevered FCF'!J$14*(1+$A32)/(F$31-$A32))/(1+F$31)^6-'Control Panel'!$B$85-'Control Panel'!$B$87-'Control Panel'!$B$88+'Control Panel'!$B$89+'Control Panel'!$B$90)</f>
        <v/>
      </c>
      <c r="G32" s="9">
        <f>(('Unlevered FCF'!E$14/(1+G$31)^1+'Unlevered FCF'!F$14/(1+G$31)^2+'Unlevered FCF'!G$14/(1+G$31)^3+'Unlevered FCF'!H$14/(1+G$31)^4+'Unlevered FCF'!I$14/(1+G$31)^5+'Unlevered FCF'!J$14/(1+G$31)^6)+('Unlevered FCF'!J$14*(1+$A32)/(G$31-$A32))/(1+G$31)^6-'Control Panel'!$B$85-'Control Panel'!$B$87-'Control Panel'!$B$88+'Control Panel'!$B$89+'Control Panel'!$B$90)</f>
        <v/>
      </c>
      <c r="H32" s="9">
        <f>(('Unlevered FCF'!E$14/(1+H$31)^1+'Unlevered FCF'!F$14/(1+H$31)^2+'Unlevered FCF'!G$14/(1+H$31)^3+'Unlevered FCF'!H$14/(1+H$31)^4+'Unlevered FCF'!I$14/(1+H$31)^5+'Unlevered FCF'!J$14/(1+H$31)^6)+('Unlevered FCF'!J$14*(1+$A32)/(H$31-$A32))/(1+H$31)^6-'Control Panel'!$B$85-'Control Panel'!$B$87-'Control Panel'!$B$88+'Control Panel'!$B$89+'Control Panel'!$B$90)</f>
        <v/>
      </c>
    </row>
    <row r="33">
      <c r="A33" s="46" t="n">
        <v>0.02</v>
      </c>
      <c r="B33" s="9">
        <f>(('Unlevered FCF'!E$14/(1+B$31)^1+'Unlevered FCF'!F$14/(1+B$31)^2+'Unlevered FCF'!G$14/(1+B$31)^3+'Unlevered FCF'!H$14/(1+B$31)^4+'Unlevered FCF'!I$14/(1+B$31)^5+'Unlevered FCF'!J$14/(1+B$31)^6)+('Unlevered FCF'!J$14*(1+$A33)/(B$31-$A33))/(1+B$31)^6-'Control Panel'!$B$85-'Control Panel'!$B$87-'Control Panel'!$B$88+'Control Panel'!$B$89+'Control Panel'!$B$90)</f>
        <v/>
      </c>
      <c r="C33" s="9">
        <f>(('Unlevered FCF'!E$14/(1+C$31)^1+'Unlevered FCF'!F$14/(1+C$31)^2+'Unlevered FCF'!G$14/(1+C$31)^3+'Unlevered FCF'!H$14/(1+C$31)^4+'Unlevered FCF'!I$14/(1+C$31)^5+'Unlevered FCF'!J$14/(1+C$31)^6)+('Unlevered FCF'!J$14*(1+$A33)/(C$31-$A33))/(1+C$31)^6-'Control Panel'!$B$85-'Control Panel'!$B$87-'Control Panel'!$B$88+'Control Panel'!$B$89+'Control Panel'!$B$90)</f>
        <v/>
      </c>
      <c r="D33" s="9">
        <f>(('Unlevered FCF'!E$14/(1+D$31)^1+'Unlevered FCF'!F$14/(1+D$31)^2+'Unlevered FCF'!G$14/(1+D$31)^3+'Unlevered FCF'!H$14/(1+D$31)^4+'Unlevered FCF'!I$14/(1+D$31)^5+'Unlevered FCF'!J$14/(1+D$31)^6)+('Unlevered FCF'!J$14*(1+$A33)/(D$31-$A33))/(1+D$31)^6-'Control Panel'!$B$85-'Control Panel'!$B$87-'Control Panel'!$B$88+'Control Panel'!$B$89+'Control Panel'!$B$90)</f>
        <v/>
      </c>
      <c r="E33" s="9">
        <f>(('Unlevered FCF'!E$14/(1+E$31)^1+'Unlevered FCF'!F$14/(1+E$31)^2+'Unlevered FCF'!G$14/(1+E$31)^3+'Unlevered FCF'!H$14/(1+E$31)^4+'Unlevered FCF'!I$14/(1+E$31)^5+'Unlevered FCF'!J$14/(1+E$31)^6)+('Unlevered FCF'!J$14*(1+$A33)/(E$31-$A33))/(1+E$31)^6-'Control Panel'!$B$85-'Control Panel'!$B$87-'Control Panel'!$B$88+'Control Panel'!$B$89+'Control Panel'!$B$90)</f>
        <v/>
      </c>
      <c r="F33" s="9">
        <f>(('Unlevered FCF'!E$14/(1+F$31)^1+'Unlevered FCF'!F$14/(1+F$31)^2+'Unlevered FCF'!G$14/(1+F$31)^3+'Unlevered FCF'!H$14/(1+F$31)^4+'Unlevered FCF'!I$14/(1+F$31)^5+'Unlevered FCF'!J$14/(1+F$31)^6)+('Unlevered FCF'!J$14*(1+$A33)/(F$31-$A33))/(1+F$31)^6-'Control Panel'!$B$85-'Control Panel'!$B$87-'Control Panel'!$B$88+'Control Panel'!$B$89+'Control Panel'!$B$90)</f>
        <v/>
      </c>
      <c r="G33" s="9">
        <f>(('Unlevered FCF'!E$14/(1+G$31)^1+'Unlevered FCF'!F$14/(1+G$31)^2+'Unlevered FCF'!G$14/(1+G$31)^3+'Unlevered FCF'!H$14/(1+G$31)^4+'Unlevered FCF'!I$14/(1+G$31)^5+'Unlevered FCF'!J$14/(1+G$31)^6)+('Unlevered FCF'!J$14*(1+$A33)/(G$31-$A33))/(1+G$31)^6-'Control Panel'!$B$85-'Control Panel'!$B$87-'Control Panel'!$B$88+'Control Panel'!$B$89+'Control Panel'!$B$90)</f>
        <v/>
      </c>
      <c r="H33" s="9">
        <f>(('Unlevered FCF'!E$14/(1+H$31)^1+'Unlevered FCF'!F$14/(1+H$31)^2+'Unlevered FCF'!G$14/(1+H$31)^3+'Unlevered FCF'!H$14/(1+H$31)^4+'Unlevered FCF'!I$14/(1+H$31)^5+'Unlevered FCF'!J$14/(1+H$31)^6)+('Unlevered FCF'!J$14*(1+$A33)/(H$31-$A33))/(1+H$31)^6-'Control Panel'!$B$85-'Control Panel'!$B$87-'Control Panel'!$B$88+'Control Panel'!$B$89+'Control Panel'!$B$90)</f>
        <v/>
      </c>
    </row>
    <row r="34">
      <c r="A34" s="46" t="n">
        <v>0.025</v>
      </c>
      <c r="B34" s="9">
        <f>(('Unlevered FCF'!E$14/(1+B$31)^1+'Unlevered FCF'!F$14/(1+B$31)^2+'Unlevered FCF'!G$14/(1+B$31)^3+'Unlevered FCF'!H$14/(1+B$31)^4+'Unlevered FCF'!I$14/(1+B$31)^5+'Unlevered FCF'!J$14/(1+B$31)^6)+('Unlevered FCF'!J$14*(1+$A34)/(B$31-$A34))/(1+B$31)^6-'Control Panel'!$B$85-'Control Panel'!$B$87-'Control Panel'!$B$88+'Control Panel'!$B$89+'Control Panel'!$B$90)</f>
        <v/>
      </c>
      <c r="C34" s="9">
        <f>(('Unlevered FCF'!E$14/(1+C$31)^1+'Unlevered FCF'!F$14/(1+C$31)^2+'Unlevered FCF'!G$14/(1+C$31)^3+'Unlevered FCF'!H$14/(1+C$31)^4+'Unlevered FCF'!I$14/(1+C$31)^5+'Unlevered FCF'!J$14/(1+C$31)^6)+('Unlevered FCF'!J$14*(1+$A34)/(C$31-$A34))/(1+C$31)^6-'Control Panel'!$B$85-'Control Panel'!$B$87-'Control Panel'!$B$88+'Control Panel'!$B$89+'Control Panel'!$B$90)</f>
        <v/>
      </c>
      <c r="D34" s="9">
        <f>(('Unlevered FCF'!E$14/(1+D$31)^1+'Unlevered FCF'!F$14/(1+D$31)^2+'Unlevered FCF'!G$14/(1+D$31)^3+'Unlevered FCF'!H$14/(1+D$31)^4+'Unlevered FCF'!I$14/(1+D$31)^5+'Unlevered FCF'!J$14/(1+D$31)^6)+('Unlevered FCF'!J$14*(1+$A34)/(D$31-$A34))/(1+D$31)^6-'Control Panel'!$B$85-'Control Panel'!$B$87-'Control Panel'!$B$88+'Control Panel'!$B$89+'Control Panel'!$B$90)</f>
        <v/>
      </c>
      <c r="E34" s="9">
        <f>(('Unlevered FCF'!E$14/(1+E$31)^1+'Unlevered FCF'!F$14/(1+E$31)^2+'Unlevered FCF'!G$14/(1+E$31)^3+'Unlevered FCF'!H$14/(1+E$31)^4+'Unlevered FCF'!I$14/(1+E$31)^5+'Unlevered FCF'!J$14/(1+E$31)^6)+('Unlevered FCF'!J$14*(1+$A34)/(E$31-$A34))/(1+E$31)^6-'Control Panel'!$B$85-'Control Panel'!$B$87-'Control Panel'!$B$88+'Control Panel'!$B$89+'Control Panel'!$B$90)</f>
        <v/>
      </c>
      <c r="F34" s="9">
        <f>(('Unlevered FCF'!E$14/(1+F$31)^1+'Unlevered FCF'!F$14/(1+F$31)^2+'Unlevered FCF'!G$14/(1+F$31)^3+'Unlevered FCF'!H$14/(1+F$31)^4+'Unlevered FCF'!I$14/(1+F$31)^5+'Unlevered FCF'!J$14/(1+F$31)^6)+('Unlevered FCF'!J$14*(1+$A34)/(F$31-$A34))/(1+F$31)^6-'Control Panel'!$B$85-'Control Panel'!$B$87-'Control Panel'!$B$88+'Control Panel'!$B$89+'Control Panel'!$B$90)</f>
        <v/>
      </c>
      <c r="G34" s="9">
        <f>(('Unlevered FCF'!E$14/(1+G$31)^1+'Unlevered FCF'!F$14/(1+G$31)^2+'Unlevered FCF'!G$14/(1+G$31)^3+'Unlevered FCF'!H$14/(1+G$31)^4+'Unlevered FCF'!I$14/(1+G$31)^5+'Unlevered FCF'!J$14/(1+G$31)^6)+('Unlevered FCF'!J$14*(1+$A34)/(G$31-$A34))/(1+G$31)^6-'Control Panel'!$B$85-'Control Panel'!$B$87-'Control Panel'!$B$88+'Control Panel'!$B$89+'Control Panel'!$B$90)</f>
        <v/>
      </c>
      <c r="H34" s="9">
        <f>(('Unlevered FCF'!E$14/(1+H$31)^1+'Unlevered FCF'!F$14/(1+H$31)^2+'Unlevered FCF'!G$14/(1+H$31)^3+'Unlevered FCF'!H$14/(1+H$31)^4+'Unlevered FCF'!I$14/(1+H$31)^5+'Unlevered FCF'!J$14/(1+H$31)^6)+('Unlevered FCF'!J$14*(1+$A34)/(H$31-$A34))/(1+H$31)^6-'Control Panel'!$B$85-'Control Panel'!$B$87-'Control Panel'!$B$88+'Control Panel'!$B$89+'Control Panel'!$B$90)</f>
        <v/>
      </c>
    </row>
    <row r="35">
      <c r="A35" s="46" t="n">
        <v>0.03</v>
      </c>
      <c r="B35" s="9">
        <f>(('Unlevered FCF'!E$14/(1+B$31)^1+'Unlevered FCF'!F$14/(1+B$31)^2+'Unlevered FCF'!G$14/(1+B$31)^3+'Unlevered FCF'!H$14/(1+B$31)^4+'Unlevered FCF'!I$14/(1+B$31)^5+'Unlevered FCF'!J$14/(1+B$31)^6)+('Unlevered FCF'!J$14*(1+$A35)/(B$31-$A35))/(1+B$31)^6-'Control Panel'!$B$85-'Control Panel'!$B$87-'Control Panel'!$B$88+'Control Panel'!$B$89+'Control Panel'!$B$90)</f>
        <v/>
      </c>
      <c r="C35" s="9">
        <f>(('Unlevered FCF'!E$14/(1+C$31)^1+'Unlevered FCF'!F$14/(1+C$31)^2+'Unlevered FCF'!G$14/(1+C$31)^3+'Unlevered FCF'!H$14/(1+C$31)^4+'Unlevered FCF'!I$14/(1+C$31)^5+'Unlevered FCF'!J$14/(1+C$31)^6)+('Unlevered FCF'!J$14*(1+$A35)/(C$31-$A35))/(1+C$31)^6-'Control Panel'!$B$85-'Control Panel'!$B$87-'Control Panel'!$B$88+'Control Panel'!$B$89+'Control Panel'!$B$90)</f>
        <v/>
      </c>
      <c r="D35" s="9">
        <f>(('Unlevered FCF'!E$14/(1+D$31)^1+'Unlevered FCF'!F$14/(1+D$31)^2+'Unlevered FCF'!G$14/(1+D$31)^3+'Unlevered FCF'!H$14/(1+D$31)^4+'Unlevered FCF'!I$14/(1+D$31)^5+'Unlevered FCF'!J$14/(1+D$31)^6)+('Unlevered FCF'!J$14*(1+$A35)/(D$31-$A35))/(1+D$31)^6-'Control Panel'!$B$85-'Control Panel'!$B$87-'Control Panel'!$B$88+'Control Panel'!$B$89+'Control Panel'!$B$90)</f>
        <v/>
      </c>
      <c r="E35" s="9">
        <f>(('Unlevered FCF'!E$14/(1+E$31)^1+'Unlevered FCF'!F$14/(1+E$31)^2+'Unlevered FCF'!G$14/(1+E$31)^3+'Unlevered FCF'!H$14/(1+E$31)^4+'Unlevered FCF'!I$14/(1+E$31)^5+'Unlevered FCF'!J$14/(1+E$31)^6)+('Unlevered FCF'!J$14*(1+$A35)/(E$31-$A35))/(1+E$31)^6-'Control Panel'!$B$85-'Control Panel'!$B$87-'Control Panel'!$B$88+'Control Panel'!$B$89+'Control Panel'!$B$90)</f>
        <v/>
      </c>
      <c r="F35" s="9">
        <f>(('Unlevered FCF'!E$14/(1+F$31)^1+'Unlevered FCF'!F$14/(1+F$31)^2+'Unlevered FCF'!G$14/(1+F$31)^3+'Unlevered FCF'!H$14/(1+F$31)^4+'Unlevered FCF'!I$14/(1+F$31)^5+'Unlevered FCF'!J$14/(1+F$31)^6)+('Unlevered FCF'!J$14*(1+$A35)/(F$31-$A35))/(1+F$31)^6-'Control Panel'!$B$85-'Control Panel'!$B$87-'Control Panel'!$B$88+'Control Panel'!$B$89+'Control Panel'!$B$90)</f>
        <v/>
      </c>
      <c r="G35" s="9">
        <f>(('Unlevered FCF'!E$14/(1+G$31)^1+'Unlevered FCF'!F$14/(1+G$31)^2+'Unlevered FCF'!G$14/(1+G$31)^3+'Unlevered FCF'!H$14/(1+G$31)^4+'Unlevered FCF'!I$14/(1+G$31)^5+'Unlevered FCF'!J$14/(1+G$31)^6)+('Unlevered FCF'!J$14*(1+$A35)/(G$31-$A35))/(1+G$31)^6-'Control Panel'!$B$85-'Control Panel'!$B$87-'Control Panel'!$B$88+'Control Panel'!$B$89+'Control Panel'!$B$90)</f>
        <v/>
      </c>
      <c r="H35" s="9">
        <f>(('Unlevered FCF'!E$14/(1+H$31)^1+'Unlevered FCF'!F$14/(1+H$31)^2+'Unlevered FCF'!G$14/(1+H$31)^3+'Unlevered FCF'!H$14/(1+H$31)^4+'Unlevered FCF'!I$14/(1+H$31)^5+'Unlevered FCF'!J$14/(1+H$31)^6)+('Unlevered FCF'!J$14*(1+$A35)/(H$31-$A35))/(1+H$31)^6-'Control Panel'!$B$85-'Control Panel'!$B$87-'Control Panel'!$B$88+'Control Panel'!$B$89+'Control Panel'!$B$90)</f>
        <v/>
      </c>
    </row>
    <row r="36">
      <c r="A36" s="46" t="n">
        <v>0.035</v>
      </c>
      <c r="B36" s="9">
        <f>(('Unlevered FCF'!E$14/(1+B$31)^1+'Unlevered FCF'!F$14/(1+B$31)^2+'Unlevered FCF'!G$14/(1+B$31)^3+'Unlevered FCF'!H$14/(1+B$31)^4+'Unlevered FCF'!I$14/(1+B$31)^5+'Unlevered FCF'!J$14/(1+B$31)^6)+('Unlevered FCF'!J$14*(1+$A36)/(B$31-$A36))/(1+B$31)^6-'Control Panel'!$B$85-'Control Panel'!$B$87-'Control Panel'!$B$88+'Control Panel'!$B$89+'Control Panel'!$B$90)</f>
        <v/>
      </c>
      <c r="C36" s="9">
        <f>(('Unlevered FCF'!E$14/(1+C$31)^1+'Unlevered FCF'!F$14/(1+C$31)^2+'Unlevered FCF'!G$14/(1+C$31)^3+'Unlevered FCF'!H$14/(1+C$31)^4+'Unlevered FCF'!I$14/(1+C$31)^5+'Unlevered FCF'!J$14/(1+C$31)^6)+('Unlevered FCF'!J$14*(1+$A36)/(C$31-$A36))/(1+C$31)^6-'Control Panel'!$B$85-'Control Panel'!$B$87-'Control Panel'!$B$88+'Control Panel'!$B$89+'Control Panel'!$B$90)</f>
        <v/>
      </c>
      <c r="D36" s="9">
        <f>(('Unlevered FCF'!E$14/(1+D$31)^1+'Unlevered FCF'!F$14/(1+D$31)^2+'Unlevered FCF'!G$14/(1+D$31)^3+'Unlevered FCF'!H$14/(1+D$31)^4+'Unlevered FCF'!I$14/(1+D$31)^5+'Unlevered FCF'!J$14/(1+D$31)^6)+('Unlevered FCF'!J$14*(1+$A36)/(D$31-$A36))/(1+D$31)^6-'Control Panel'!$B$85-'Control Panel'!$B$87-'Control Panel'!$B$88+'Control Panel'!$B$89+'Control Panel'!$B$90)</f>
        <v/>
      </c>
      <c r="E36" s="9">
        <f>(('Unlevered FCF'!E$14/(1+E$31)^1+'Unlevered FCF'!F$14/(1+E$31)^2+'Unlevered FCF'!G$14/(1+E$31)^3+'Unlevered FCF'!H$14/(1+E$31)^4+'Unlevered FCF'!I$14/(1+E$31)^5+'Unlevered FCF'!J$14/(1+E$31)^6)+('Unlevered FCF'!J$14*(1+$A36)/(E$31-$A36))/(1+E$31)^6-'Control Panel'!$B$85-'Control Panel'!$B$87-'Control Panel'!$B$88+'Control Panel'!$B$89+'Control Panel'!$B$90)</f>
        <v/>
      </c>
      <c r="F36" s="9">
        <f>(('Unlevered FCF'!E$14/(1+F$31)^1+'Unlevered FCF'!F$14/(1+F$31)^2+'Unlevered FCF'!G$14/(1+F$31)^3+'Unlevered FCF'!H$14/(1+F$31)^4+'Unlevered FCF'!I$14/(1+F$31)^5+'Unlevered FCF'!J$14/(1+F$31)^6)+('Unlevered FCF'!J$14*(1+$A36)/(F$31-$A36))/(1+F$31)^6-'Control Panel'!$B$85-'Control Panel'!$B$87-'Control Panel'!$B$88+'Control Panel'!$B$89+'Control Panel'!$B$90)</f>
        <v/>
      </c>
      <c r="G36" s="9">
        <f>(('Unlevered FCF'!E$14/(1+G$31)^1+'Unlevered FCF'!F$14/(1+G$31)^2+'Unlevered FCF'!G$14/(1+G$31)^3+'Unlevered FCF'!H$14/(1+G$31)^4+'Unlevered FCF'!I$14/(1+G$31)^5+'Unlevered FCF'!J$14/(1+G$31)^6)+('Unlevered FCF'!J$14*(1+$A36)/(G$31-$A36))/(1+G$31)^6-'Control Panel'!$B$85-'Control Panel'!$B$87-'Control Panel'!$B$88+'Control Panel'!$B$89+'Control Panel'!$B$90)</f>
        <v/>
      </c>
      <c r="H36" s="9">
        <f>(('Unlevered FCF'!E$14/(1+H$31)^1+'Unlevered FCF'!F$14/(1+H$31)^2+'Unlevered FCF'!G$14/(1+H$31)^3+'Unlevered FCF'!H$14/(1+H$31)^4+'Unlevered FCF'!I$14/(1+H$31)^5+'Unlevered FCF'!J$14/(1+H$31)^6)+('Unlevered FCF'!J$14*(1+$A36)/(H$31-$A36))/(1+H$31)^6-'Control Panel'!$B$85-'Control Panel'!$B$87-'Control Panel'!$B$88+'Control Panel'!$B$89+'Control Panel'!$B$90)</f>
        <v/>
      </c>
    </row>
    <row r="37"/>
    <row r="38"/>
    <row r="39">
      <c r="A39" s="2" t="inlineStr">
        <is>
          <t>Upside / downside by WACC and terminal growth</t>
        </is>
      </c>
    </row>
    <row r="40">
      <c r="A40" s="18" t="inlineStr">
        <is>
          <t>Terminal growth</t>
        </is>
      </c>
      <c r="B40" s="47" t="n">
        <v>0.075</v>
      </c>
      <c r="C40" s="47" t="n">
        <v>0.08</v>
      </c>
      <c r="D40" s="47" t="n">
        <v>0.08500000000000001</v>
      </c>
      <c r="E40" s="47" t="n">
        <v>0.09</v>
      </c>
      <c r="F40" s="47" t="n">
        <v>0.095</v>
      </c>
      <c r="G40" s="47" t="n">
        <v>0.1</v>
      </c>
      <c r="H40" s="47" t="n">
        <v>0.105</v>
      </c>
    </row>
    <row r="41">
      <c r="A41" s="46" t="n">
        <v>0.015</v>
      </c>
      <c r="B41" s="12">
        <f>(('Unlevered FCF'!E$14/(1+B$40)^1+'Unlevered FCF'!F$14/(1+B$40)^2+'Unlevered FCF'!G$14/(1+B$40)^3+'Unlevered FCF'!H$14/(1+B$40)^4+'Unlevered FCF'!I$14/(1+B$40)^5+'Unlevered FCF'!J$14/(1+B$40)^6)+('Unlevered FCF'!J$14*(1+$A41)/(B$40-$A41))/(1+B$40)^6-'Control Panel'!$B$85-'Control Panel'!$B$87-'Control Panel'!$B$88+'Control Panel'!$B$89+'Control Panel'!$B$90)/'Control Panel'!$B$86/'Control Panel'!$B$12-1</f>
        <v/>
      </c>
      <c r="C41" s="12">
        <f>(('Unlevered FCF'!E$14/(1+C$40)^1+'Unlevered FCF'!F$14/(1+C$40)^2+'Unlevered FCF'!G$14/(1+C$40)^3+'Unlevered FCF'!H$14/(1+C$40)^4+'Unlevered FCF'!I$14/(1+C$40)^5+'Unlevered FCF'!J$14/(1+C$40)^6)+('Unlevered FCF'!J$14*(1+$A41)/(C$40-$A41))/(1+C$40)^6-'Control Panel'!$B$85-'Control Panel'!$B$87-'Control Panel'!$B$88+'Control Panel'!$B$89+'Control Panel'!$B$90)/'Control Panel'!$B$86/'Control Panel'!$B$12-1</f>
        <v/>
      </c>
      <c r="D41" s="12">
        <f>(('Unlevered FCF'!E$14/(1+D$40)^1+'Unlevered FCF'!F$14/(1+D$40)^2+'Unlevered FCF'!G$14/(1+D$40)^3+'Unlevered FCF'!H$14/(1+D$40)^4+'Unlevered FCF'!I$14/(1+D$40)^5+'Unlevered FCF'!J$14/(1+D$40)^6)+('Unlevered FCF'!J$14*(1+$A41)/(D$40-$A41))/(1+D$40)^6-'Control Panel'!$B$85-'Control Panel'!$B$87-'Control Panel'!$B$88+'Control Panel'!$B$89+'Control Panel'!$B$90)/'Control Panel'!$B$86/'Control Panel'!$B$12-1</f>
        <v/>
      </c>
      <c r="E41" s="12">
        <f>(('Unlevered FCF'!E$14/(1+E$40)^1+'Unlevered FCF'!F$14/(1+E$40)^2+'Unlevered FCF'!G$14/(1+E$40)^3+'Unlevered FCF'!H$14/(1+E$40)^4+'Unlevered FCF'!I$14/(1+E$40)^5+'Unlevered FCF'!J$14/(1+E$40)^6)+('Unlevered FCF'!J$14*(1+$A41)/(E$40-$A41))/(1+E$40)^6-'Control Panel'!$B$85-'Control Panel'!$B$87-'Control Panel'!$B$88+'Control Panel'!$B$89+'Control Panel'!$B$90)/'Control Panel'!$B$86/'Control Panel'!$B$12-1</f>
        <v/>
      </c>
      <c r="F41" s="12">
        <f>(('Unlevered FCF'!E$14/(1+F$40)^1+'Unlevered FCF'!F$14/(1+F$40)^2+'Unlevered FCF'!G$14/(1+F$40)^3+'Unlevered FCF'!H$14/(1+F$40)^4+'Unlevered FCF'!I$14/(1+F$40)^5+'Unlevered FCF'!J$14/(1+F$40)^6)+('Unlevered FCF'!J$14*(1+$A41)/(F$40-$A41))/(1+F$40)^6-'Control Panel'!$B$85-'Control Panel'!$B$87-'Control Panel'!$B$88+'Control Panel'!$B$89+'Control Panel'!$B$90)/'Control Panel'!$B$86/'Control Panel'!$B$12-1</f>
        <v/>
      </c>
      <c r="G41" s="12">
        <f>(('Unlevered FCF'!E$14/(1+G$40)^1+'Unlevered FCF'!F$14/(1+G$40)^2+'Unlevered FCF'!G$14/(1+G$40)^3+'Unlevered FCF'!H$14/(1+G$40)^4+'Unlevered FCF'!I$14/(1+G$40)^5+'Unlevered FCF'!J$14/(1+G$40)^6)+('Unlevered FCF'!J$14*(1+$A41)/(G$40-$A41))/(1+G$40)^6-'Control Panel'!$B$85-'Control Panel'!$B$87-'Control Panel'!$B$88+'Control Panel'!$B$89+'Control Panel'!$B$90)/'Control Panel'!$B$86/'Control Panel'!$B$12-1</f>
        <v/>
      </c>
      <c r="H41" s="12">
        <f>(('Unlevered FCF'!E$14/(1+H$40)^1+'Unlevered FCF'!F$14/(1+H$40)^2+'Unlevered FCF'!G$14/(1+H$40)^3+'Unlevered FCF'!H$14/(1+H$40)^4+'Unlevered FCF'!I$14/(1+H$40)^5+'Unlevered FCF'!J$14/(1+H$40)^6)+('Unlevered FCF'!J$14*(1+$A41)/(H$40-$A41))/(1+H$40)^6-'Control Panel'!$B$85-'Control Panel'!$B$87-'Control Panel'!$B$88+'Control Panel'!$B$89+'Control Panel'!$B$90)/'Control Panel'!$B$86/'Control Panel'!$B$12-1</f>
        <v/>
      </c>
    </row>
    <row r="42">
      <c r="A42" s="46" t="n">
        <v>0.02</v>
      </c>
      <c r="B42" s="12">
        <f>(('Unlevered FCF'!E$14/(1+B$40)^1+'Unlevered FCF'!F$14/(1+B$40)^2+'Unlevered FCF'!G$14/(1+B$40)^3+'Unlevered FCF'!H$14/(1+B$40)^4+'Unlevered FCF'!I$14/(1+B$40)^5+'Unlevered FCF'!J$14/(1+B$40)^6)+('Unlevered FCF'!J$14*(1+$A42)/(B$40-$A42))/(1+B$40)^6-'Control Panel'!$B$85-'Control Panel'!$B$87-'Control Panel'!$B$88+'Control Panel'!$B$89+'Control Panel'!$B$90)/'Control Panel'!$B$86/'Control Panel'!$B$12-1</f>
        <v/>
      </c>
      <c r="C42" s="12">
        <f>(('Unlevered FCF'!E$14/(1+C$40)^1+'Unlevered FCF'!F$14/(1+C$40)^2+'Unlevered FCF'!G$14/(1+C$40)^3+'Unlevered FCF'!H$14/(1+C$40)^4+'Unlevered FCF'!I$14/(1+C$40)^5+'Unlevered FCF'!J$14/(1+C$40)^6)+('Unlevered FCF'!J$14*(1+$A42)/(C$40-$A42))/(1+C$40)^6-'Control Panel'!$B$85-'Control Panel'!$B$87-'Control Panel'!$B$88+'Control Panel'!$B$89+'Control Panel'!$B$90)/'Control Panel'!$B$86/'Control Panel'!$B$12-1</f>
        <v/>
      </c>
      <c r="D42" s="12">
        <f>(('Unlevered FCF'!E$14/(1+D$40)^1+'Unlevered FCF'!F$14/(1+D$40)^2+'Unlevered FCF'!G$14/(1+D$40)^3+'Unlevered FCF'!H$14/(1+D$40)^4+'Unlevered FCF'!I$14/(1+D$40)^5+'Unlevered FCF'!J$14/(1+D$40)^6)+('Unlevered FCF'!J$14*(1+$A42)/(D$40-$A42))/(1+D$40)^6-'Control Panel'!$B$85-'Control Panel'!$B$87-'Control Panel'!$B$88+'Control Panel'!$B$89+'Control Panel'!$B$90)/'Control Panel'!$B$86/'Control Panel'!$B$12-1</f>
        <v/>
      </c>
      <c r="E42" s="12">
        <f>(('Unlevered FCF'!E$14/(1+E$40)^1+'Unlevered FCF'!F$14/(1+E$40)^2+'Unlevered FCF'!G$14/(1+E$40)^3+'Unlevered FCF'!H$14/(1+E$40)^4+'Unlevered FCF'!I$14/(1+E$40)^5+'Unlevered FCF'!J$14/(1+E$40)^6)+('Unlevered FCF'!J$14*(1+$A42)/(E$40-$A42))/(1+E$40)^6-'Control Panel'!$B$85-'Control Panel'!$B$87-'Control Panel'!$B$88+'Control Panel'!$B$89+'Control Panel'!$B$90)/'Control Panel'!$B$86/'Control Panel'!$B$12-1</f>
        <v/>
      </c>
      <c r="F42" s="12">
        <f>(('Unlevered FCF'!E$14/(1+F$40)^1+'Unlevered FCF'!F$14/(1+F$40)^2+'Unlevered FCF'!G$14/(1+F$40)^3+'Unlevered FCF'!H$14/(1+F$40)^4+'Unlevered FCF'!I$14/(1+F$40)^5+'Unlevered FCF'!J$14/(1+F$40)^6)+('Unlevered FCF'!J$14*(1+$A42)/(F$40-$A42))/(1+F$40)^6-'Control Panel'!$B$85-'Control Panel'!$B$87-'Control Panel'!$B$88+'Control Panel'!$B$89+'Control Panel'!$B$90)/'Control Panel'!$B$86/'Control Panel'!$B$12-1</f>
        <v/>
      </c>
      <c r="G42" s="12">
        <f>(('Unlevered FCF'!E$14/(1+G$40)^1+'Unlevered FCF'!F$14/(1+G$40)^2+'Unlevered FCF'!G$14/(1+G$40)^3+'Unlevered FCF'!H$14/(1+G$40)^4+'Unlevered FCF'!I$14/(1+G$40)^5+'Unlevered FCF'!J$14/(1+G$40)^6)+('Unlevered FCF'!J$14*(1+$A42)/(G$40-$A42))/(1+G$40)^6-'Control Panel'!$B$85-'Control Panel'!$B$87-'Control Panel'!$B$88+'Control Panel'!$B$89+'Control Panel'!$B$90)/'Control Panel'!$B$86/'Control Panel'!$B$12-1</f>
        <v/>
      </c>
      <c r="H42" s="12">
        <f>(('Unlevered FCF'!E$14/(1+H$40)^1+'Unlevered FCF'!F$14/(1+H$40)^2+'Unlevered FCF'!G$14/(1+H$40)^3+'Unlevered FCF'!H$14/(1+H$40)^4+'Unlevered FCF'!I$14/(1+H$40)^5+'Unlevered FCF'!J$14/(1+H$40)^6)+('Unlevered FCF'!J$14*(1+$A42)/(H$40-$A42))/(1+H$40)^6-'Control Panel'!$B$85-'Control Panel'!$B$87-'Control Panel'!$B$88+'Control Panel'!$B$89+'Control Panel'!$B$90)/'Control Panel'!$B$86/'Control Panel'!$B$12-1</f>
        <v/>
      </c>
    </row>
    <row r="43">
      <c r="A43" s="46" t="n">
        <v>0.025</v>
      </c>
      <c r="B43" s="12">
        <f>(('Unlevered FCF'!E$14/(1+B$40)^1+'Unlevered FCF'!F$14/(1+B$40)^2+'Unlevered FCF'!G$14/(1+B$40)^3+'Unlevered FCF'!H$14/(1+B$40)^4+'Unlevered FCF'!I$14/(1+B$40)^5+'Unlevered FCF'!J$14/(1+B$40)^6)+('Unlevered FCF'!J$14*(1+$A43)/(B$40-$A43))/(1+B$40)^6-'Control Panel'!$B$85-'Control Panel'!$B$87-'Control Panel'!$B$88+'Control Panel'!$B$89+'Control Panel'!$B$90)/'Control Panel'!$B$86/'Control Panel'!$B$12-1</f>
        <v/>
      </c>
      <c r="C43" s="12">
        <f>(('Unlevered FCF'!E$14/(1+C$40)^1+'Unlevered FCF'!F$14/(1+C$40)^2+'Unlevered FCF'!G$14/(1+C$40)^3+'Unlevered FCF'!H$14/(1+C$40)^4+'Unlevered FCF'!I$14/(1+C$40)^5+'Unlevered FCF'!J$14/(1+C$40)^6)+('Unlevered FCF'!J$14*(1+$A43)/(C$40-$A43))/(1+C$40)^6-'Control Panel'!$B$85-'Control Panel'!$B$87-'Control Panel'!$B$88+'Control Panel'!$B$89+'Control Panel'!$B$90)/'Control Panel'!$B$86/'Control Panel'!$B$12-1</f>
        <v/>
      </c>
      <c r="D43" s="12">
        <f>(('Unlevered FCF'!E$14/(1+D$40)^1+'Unlevered FCF'!F$14/(1+D$40)^2+'Unlevered FCF'!G$14/(1+D$40)^3+'Unlevered FCF'!H$14/(1+D$40)^4+'Unlevered FCF'!I$14/(1+D$40)^5+'Unlevered FCF'!J$14/(1+D$40)^6)+('Unlevered FCF'!J$14*(1+$A43)/(D$40-$A43))/(1+D$40)^6-'Control Panel'!$B$85-'Control Panel'!$B$87-'Control Panel'!$B$88+'Control Panel'!$B$89+'Control Panel'!$B$90)/'Control Panel'!$B$86/'Control Panel'!$B$12-1</f>
        <v/>
      </c>
      <c r="E43" s="12">
        <f>(('Unlevered FCF'!E$14/(1+E$40)^1+'Unlevered FCF'!F$14/(1+E$40)^2+'Unlevered FCF'!G$14/(1+E$40)^3+'Unlevered FCF'!H$14/(1+E$40)^4+'Unlevered FCF'!I$14/(1+E$40)^5+'Unlevered FCF'!J$14/(1+E$40)^6)+('Unlevered FCF'!J$14*(1+$A43)/(E$40-$A43))/(1+E$40)^6-'Control Panel'!$B$85-'Control Panel'!$B$87-'Control Panel'!$B$88+'Control Panel'!$B$89+'Control Panel'!$B$90)/'Control Panel'!$B$86/'Control Panel'!$B$12-1</f>
        <v/>
      </c>
      <c r="F43" s="12">
        <f>(('Unlevered FCF'!E$14/(1+F$40)^1+'Unlevered FCF'!F$14/(1+F$40)^2+'Unlevered FCF'!G$14/(1+F$40)^3+'Unlevered FCF'!H$14/(1+F$40)^4+'Unlevered FCF'!I$14/(1+F$40)^5+'Unlevered FCF'!J$14/(1+F$40)^6)+('Unlevered FCF'!J$14*(1+$A43)/(F$40-$A43))/(1+F$40)^6-'Control Panel'!$B$85-'Control Panel'!$B$87-'Control Panel'!$B$88+'Control Panel'!$B$89+'Control Panel'!$B$90)/'Control Panel'!$B$86/'Control Panel'!$B$12-1</f>
        <v/>
      </c>
      <c r="G43" s="12">
        <f>(('Unlevered FCF'!E$14/(1+G$40)^1+'Unlevered FCF'!F$14/(1+G$40)^2+'Unlevered FCF'!G$14/(1+G$40)^3+'Unlevered FCF'!H$14/(1+G$40)^4+'Unlevered FCF'!I$14/(1+G$40)^5+'Unlevered FCF'!J$14/(1+G$40)^6)+('Unlevered FCF'!J$14*(1+$A43)/(G$40-$A43))/(1+G$40)^6-'Control Panel'!$B$85-'Control Panel'!$B$87-'Control Panel'!$B$88+'Control Panel'!$B$89+'Control Panel'!$B$90)/'Control Panel'!$B$86/'Control Panel'!$B$12-1</f>
        <v/>
      </c>
      <c r="H43" s="12">
        <f>(('Unlevered FCF'!E$14/(1+H$40)^1+'Unlevered FCF'!F$14/(1+H$40)^2+'Unlevered FCF'!G$14/(1+H$40)^3+'Unlevered FCF'!H$14/(1+H$40)^4+'Unlevered FCF'!I$14/(1+H$40)^5+'Unlevered FCF'!J$14/(1+H$40)^6)+('Unlevered FCF'!J$14*(1+$A43)/(H$40-$A43))/(1+H$40)^6-'Control Panel'!$B$85-'Control Panel'!$B$87-'Control Panel'!$B$88+'Control Panel'!$B$89+'Control Panel'!$B$90)/'Control Panel'!$B$86/'Control Panel'!$B$12-1</f>
        <v/>
      </c>
    </row>
    <row r="44">
      <c r="A44" s="46" t="n">
        <v>0.03</v>
      </c>
      <c r="B44" s="12">
        <f>(('Unlevered FCF'!E$14/(1+B$40)^1+'Unlevered FCF'!F$14/(1+B$40)^2+'Unlevered FCF'!G$14/(1+B$40)^3+'Unlevered FCF'!H$14/(1+B$40)^4+'Unlevered FCF'!I$14/(1+B$40)^5+'Unlevered FCF'!J$14/(1+B$40)^6)+('Unlevered FCF'!J$14*(1+$A44)/(B$40-$A44))/(1+B$40)^6-'Control Panel'!$B$85-'Control Panel'!$B$87-'Control Panel'!$B$88+'Control Panel'!$B$89+'Control Panel'!$B$90)/'Control Panel'!$B$86/'Control Panel'!$B$12-1</f>
        <v/>
      </c>
      <c r="C44" s="12">
        <f>(('Unlevered FCF'!E$14/(1+C$40)^1+'Unlevered FCF'!F$14/(1+C$40)^2+'Unlevered FCF'!G$14/(1+C$40)^3+'Unlevered FCF'!H$14/(1+C$40)^4+'Unlevered FCF'!I$14/(1+C$40)^5+'Unlevered FCF'!J$14/(1+C$40)^6)+('Unlevered FCF'!J$14*(1+$A44)/(C$40-$A44))/(1+C$40)^6-'Control Panel'!$B$85-'Control Panel'!$B$87-'Control Panel'!$B$88+'Control Panel'!$B$89+'Control Panel'!$B$90)/'Control Panel'!$B$86/'Control Panel'!$B$12-1</f>
        <v/>
      </c>
      <c r="D44" s="12">
        <f>(('Unlevered FCF'!E$14/(1+D$40)^1+'Unlevered FCF'!F$14/(1+D$40)^2+'Unlevered FCF'!G$14/(1+D$40)^3+'Unlevered FCF'!H$14/(1+D$40)^4+'Unlevered FCF'!I$14/(1+D$40)^5+'Unlevered FCF'!J$14/(1+D$40)^6)+('Unlevered FCF'!J$14*(1+$A44)/(D$40-$A44))/(1+D$40)^6-'Control Panel'!$B$85-'Control Panel'!$B$87-'Control Panel'!$B$88+'Control Panel'!$B$89+'Control Panel'!$B$90)/'Control Panel'!$B$86/'Control Panel'!$B$12-1</f>
        <v/>
      </c>
      <c r="E44" s="12">
        <f>(('Unlevered FCF'!E$14/(1+E$40)^1+'Unlevered FCF'!F$14/(1+E$40)^2+'Unlevered FCF'!G$14/(1+E$40)^3+'Unlevered FCF'!H$14/(1+E$40)^4+'Unlevered FCF'!I$14/(1+E$40)^5+'Unlevered FCF'!J$14/(1+E$40)^6)+('Unlevered FCF'!J$14*(1+$A44)/(E$40-$A44))/(1+E$40)^6-'Control Panel'!$B$85-'Control Panel'!$B$87-'Control Panel'!$B$88+'Control Panel'!$B$89+'Control Panel'!$B$90)/'Control Panel'!$B$86/'Control Panel'!$B$12-1</f>
        <v/>
      </c>
      <c r="F44" s="12">
        <f>(('Unlevered FCF'!E$14/(1+F$40)^1+'Unlevered FCF'!F$14/(1+F$40)^2+'Unlevered FCF'!G$14/(1+F$40)^3+'Unlevered FCF'!H$14/(1+F$40)^4+'Unlevered FCF'!I$14/(1+F$40)^5+'Unlevered FCF'!J$14/(1+F$40)^6)+('Unlevered FCF'!J$14*(1+$A44)/(F$40-$A44))/(1+F$40)^6-'Control Panel'!$B$85-'Control Panel'!$B$87-'Control Panel'!$B$88+'Control Panel'!$B$89+'Control Panel'!$B$90)/'Control Panel'!$B$86/'Control Panel'!$B$12-1</f>
        <v/>
      </c>
      <c r="G44" s="12">
        <f>(('Unlevered FCF'!E$14/(1+G$40)^1+'Unlevered FCF'!F$14/(1+G$40)^2+'Unlevered FCF'!G$14/(1+G$40)^3+'Unlevered FCF'!H$14/(1+G$40)^4+'Unlevered FCF'!I$14/(1+G$40)^5+'Unlevered FCF'!J$14/(1+G$40)^6)+('Unlevered FCF'!J$14*(1+$A44)/(G$40-$A44))/(1+G$40)^6-'Control Panel'!$B$85-'Control Panel'!$B$87-'Control Panel'!$B$88+'Control Panel'!$B$89+'Control Panel'!$B$90)/'Control Panel'!$B$86/'Control Panel'!$B$12-1</f>
        <v/>
      </c>
      <c r="H44" s="12">
        <f>(('Unlevered FCF'!E$14/(1+H$40)^1+'Unlevered FCF'!F$14/(1+H$40)^2+'Unlevered FCF'!G$14/(1+H$40)^3+'Unlevered FCF'!H$14/(1+H$40)^4+'Unlevered FCF'!I$14/(1+H$40)^5+'Unlevered FCF'!J$14/(1+H$40)^6)+('Unlevered FCF'!J$14*(1+$A44)/(H$40-$A44))/(1+H$40)^6-'Control Panel'!$B$85-'Control Panel'!$B$87-'Control Panel'!$B$88+'Control Panel'!$B$89+'Control Panel'!$B$90)/'Control Panel'!$B$86/'Control Panel'!$B$12-1</f>
        <v/>
      </c>
    </row>
    <row r="45">
      <c r="A45" s="46" t="n">
        <v>0.035</v>
      </c>
      <c r="B45" s="12">
        <f>(('Unlevered FCF'!E$14/(1+B$40)^1+'Unlevered FCF'!F$14/(1+B$40)^2+'Unlevered FCF'!G$14/(1+B$40)^3+'Unlevered FCF'!H$14/(1+B$40)^4+'Unlevered FCF'!I$14/(1+B$40)^5+'Unlevered FCF'!J$14/(1+B$40)^6)+('Unlevered FCF'!J$14*(1+$A45)/(B$40-$A45))/(1+B$40)^6-'Control Panel'!$B$85-'Control Panel'!$B$87-'Control Panel'!$B$88+'Control Panel'!$B$89+'Control Panel'!$B$90)/'Control Panel'!$B$86/'Control Panel'!$B$12-1</f>
        <v/>
      </c>
      <c r="C45" s="12">
        <f>(('Unlevered FCF'!E$14/(1+C$40)^1+'Unlevered FCF'!F$14/(1+C$40)^2+'Unlevered FCF'!G$14/(1+C$40)^3+'Unlevered FCF'!H$14/(1+C$40)^4+'Unlevered FCF'!I$14/(1+C$40)^5+'Unlevered FCF'!J$14/(1+C$40)^6)+('Unlevered FCF'!J$14*(1+$A45)/(C$40-$A45))/(1+C$40)^6-'Control Panel'!$B$85-'Control Panel'!$B$87-'Control Panel'!$B$88+'Control Panel'!$B$89+'Control Panel'!$B$90)/'Control Panel'!$B$86/'Control Panel'!$B$12-1</f>
        <v/>
      </c>
      <c r="D45" s="12">
        <f>(('Unlevered FCF'!E$14/(1+D$40)^1+'Unlevered FCF'!F$14/(1+D$40)^2+'Unlevered FCF'!G$14/(1+D$40)^3+'Unlevered FCF'!H$14/(1+D$40)^4+'Unlevered FCF'!I$14/(1+D$40)^5+'Unlevered FCF'!J$14/(1+D$40)^6)+('Unlevered FCF'!J$14*(1+$A45)/(D$40-$A45))/(1+D$40)^6-'Control Panel'!$B$85-'Control Panel'!$B$87-'Control Panel'!$B$88+'Control Panel'!$B$89+'Control Panel'!$B$90)/'Control Panel'!$B$86/'Control Panel'!$B$12-1</f>
        <v/>
      </c>
      <c r="E45" s="12">
        <f>(('Unlevered FCF'!E$14/(1+E$40)^1+'Unlevered FCF'!F$14/(1+E$40)^2+'Unlevered FCF'!G$14/(1+E$40)^3+'Unlevered FCF'!H$14/(1+E$40)^4+'Unlevered FCF'!I$14/(1+E$40)^5+'Unlevered FCF'!J$14/(1+E$40)^6)+('Unlevered FCF'!J$14*(1+$A45)/(E$40-$A45))/(1+E$40)^6-'Control Panel'!$B$85-'Control Panel'!$B$87-'Control Panel'!$B$88+'Control Panel'!$B$89+'Control Panel'!$B$90)/'Control Panel'!$B$86/'Control Panel'!$B$12-1</f>
        <v/>
      </c>
      <c r="F45" s="12">
        <f>(('Unlevered FCF'!E$14/(1+F$40)^1+'Unlevered FCF'!F$14/(1+F$40)^2+'Unlevered FCF'!G$14/(1+F$40)^3+'Unlevered FCF'!H$14/(1+F$40)^4+'Unlevered FCF'!I$14/(1+F$40)^5+'Unlevered FCF'!J$14/(1+F$40)^6)+('Unlevered FCF'!J$14*(1+$A45)/(F$40-$A45))/(1+F$40)^6-'Control Panel'!$B$85-'Control Panel'!$B$87-'Control Panel'!$B$88+'Control Panel'!$B$89+'Control Panel'!$B$90)/'Control Panel'!$B$86/'Control Panel'!$B$12-1</f>
        <v/>
      </c>
      <c r="G45" s="12">
        <f>(('Unlevered FCF'!E$14/(1+G$40)^1+'Unlevered FCF'!F$14/(1+G$40)^2+'Unlevered FCF'!G$14/(1+G$40)^3+'Unlevered FCF'!H$14/(1+G$40)^4+'Unlevered FCF'!I$14/(1+G$40)^5+'Unlevered FCF'!J$14/(1+G$40)^6)+('Unlevered FCF'!J$14*(1+$A45)/(G$40-$A45))/(1+G$40)^6-'Control Panel'!$B$85-'Control Panel'!$B$87-'Control Panel'!$B$88+'Control Panel'!$B$89+'Control Panel'!$B$90)/'Control Panel'!$B$86/'Control Panel'!$B$12-1</f>
        <v/>
      </c>
      <c r="H45" s="12">
        <f>(('Unlevered FCF'!E$14/(1+H$40)^1+'Unlevered FCF'!F$14/(1+H$40)^2+'Unlevered FCF'!G$14/(1+H$40)^3+'Unlevered FCF'!H$14/(1+H$40)^4+'Unlevered FCF'!I$14/(1+H$40)^5+'Unlevered FCF'!J$14/(1+H$40)^6)+('Unlevered FCF'!J$14*(1+$A45)/(H$40-$A45))/(1+H$40)^6-'Control Panel'!$B$85-'Control Panel'!$B$87-'Control Panel'!$B$88+'Control Panel'!$B$89+'Control Panel'!$B$90)/'Control Panel'!$B$86/'Control Panel'!$B$12-1</f>
        <v/>
      </c>
    </row>
    <row r="46"/>
    <row r="47"/>
    <row r="48">
      <c r="A48" s="2" t="inlineStr">
        <is>
          <t>Base / downside / upside case matrix</t>
        </is>
      </c>
    </row>
    <row r="49">
      <c r="A49" s="18" t="inlineStr">
        <is>
          <t>Case</t>
        </is>
      </c>
      <c r="B49" s="18" t="inlineStr">
        <is>
          <t>Revenue CAGR</t>
        </is>
      </c>
      <c r="C49" s="18" t="inlineStr">
        <is>
          <t>Terminal EBITDA margin</t>
        </is>
      </c>
      <c r="D49" s="18" t="inlineStr">
        <is>
          <t>WACC</t>
        </is>
      </c>
      <c r="E49" s="18" t="inlineStr">
        <is>
          <t>Terminal growth</t>
        </is>
      </c>
      <c r="F49" s="18" t="inlineStr">
        <is>
          <t>Exit multiple</t>
        </is>
      </c>
      <c r="G49" s="18" t="inlineStr">
        <is>
          <t>Implied share price</t>
        </is>
      </c>
      <c r="H49" s="18" t="inlineStr">
        <is>
          <t>Upside / downside</t>
        </is>
      </c>
    </row>
    <row r="50">
      <c r="A50" s="5" t="inlineStr">
        <is>
          <t>Downside</t>
        </is>
      </c>
      <c r="B50" s="29">
        <f>INDEX('Control Panel'!G$21:G$23,MATCH(A50,'Control Panel'!$A$21:$A$23,0))</f>
        <v/>
      </c>
      <c r="C50" s="29">
        <f>INDEX('Control Panel'!G$26:G$28,MATCH(A50,'Control Panel'!$A$26:$A$28,0))</f>
        <v/>
      </c>
      <c r="D50" s="29">
        <f>'Control Panel'!$B$78</f>
        <v/>
      </c>
      <c r="E50" s="29">
        <f>'Control Panel'!$B$83</f>
        <v/>
      </c>
      <c r="F50" s="40">
        <f>'Control Panel'!$B$84</f>
        <v/>
      </c>
      <c r="G50" s="10">
        <f>'DCF Valuation'!$B$18*(1+(B50-B51)*2+(C50-C51)*3)</f>
        <v/>
      </c>
      <c r="H50" s="12">
        <f>G50/'Control Panel'!$B$12-1</f>
        <v/>
      </c>
    </row>
    <row r="51">
      <c r="A51" s="5" t="inlineStr">
        <is>
          <t>Base</t>
        </is>
      </c>
      <c r="B51" s="29">
        <f>INDEX('Control Panel'!G$21:G$23,MATCH(A51,'Control Panel'!$A$21:$A$23,0))</f>
        <v/>
      </c>
      <c r="C51" s="29">
        <f>INDEX('Control Panel'!G$26:G$28,MATCH(A51,'Control Panel'!$A$26:$A$28,0))</f>
        <v/>
      </c>
      <c r="D51" s="29">
        <f>'Control Panel'!$B$78</f>
        <v/>
      </c>
      <c r="E51" s="29">
        <f>'Control Panel'!$B$83</f>
        <v/>
      </c>
      <c r="F51" s="40">
        <f>'Control Panel'!$B$84</f>
        <v/>
      </c>
      <c r="G51" s="10">
        <f>'DCF Valuation'!$B$18*(1+(B51-B51)*2+(C51-C51)*3)</f>
        <v/>
      </c>
      <c r="H51" s="12">
        <f>G51/'Control Panel'!$B$12-1</f>
        <v/>
      </c>
    </row>
    <row r="52">
      <c r="A52" s="5" t="inlineStr">
        <is>
          <t>Upside</t>
        </is>
      </c>
      <c r="B52" s="29">
        <f>INDEX('Control Panel'!G$21:G$23,MATCH(A52,'Control Panel'!$A$21:$A$23,0))</f>
        <v/>
      </c>
      <c r="C52" s="29">
        <f>INDEX('Control Panel'!G$26:G$28,MATCH(A52,'Control Panel'!$A$26:$A$28,0))</f>
        <v/>
      </c>
      <c r="D52" s="29">
        <f>'Control Panel'!$B$78</f>
        <v/>
      </c>
      <c r="E52" s="29">
        <f>'Control Panel'!$B$83</f>
        <v/>
      </c>
      <c r="F52" s="40">
        <f>'Control Panel'!$B$84</f>
        <v/>
      </c>
      <c r="G52" s="10">
        <f>'DCF Valuation'!$B$18*(1+(B52-B51)*2+(C52-C51)*3)</f>
        <v/>
      </c>
      <c r="H52" s="12">
        <f>G52/'Control Panel'!$B$12-1</f>
        <v/>
      </c>
    </row>
  </sheetData>
  <mergeCells count="7">
    <mergeCell ref="A12:H12"/>
    <mergeCell ref="A48:H48"/>
    <mergeCell ref="A3:H3"/>
    <mergeCell ref="A21:H21"/>
    <mergeCell ref="A30:H30"/>
    <mergeCell ref="A39:H39"/>
    <mergeCell ref="A1:L1"/>
  </mergeCells>
  <pageMargins left="0.75" right="0.75" top="1" bottom="1" header="0.5" footer="0.5"/>
  <pageSetup fitToHeight="0" fitToWidth="1"/>
</worksheet>
</file>

<file path=xl/worksheets/sheet15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F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40" customWidth="1" min="1" max="1"/>
    <col width="28" customWidth="1" min="2" max="2"/>
    <col width="14" customWidth="1" min="3" max="3"/>
    <col width="46" customWidth="1" min="4" max="4"/>
    <col width="18" customWidth="1" min="5" max="5"/>
    <col width="18" customWidth="1" min="6" max="6"/>
  </cols>
  <sheetData>
    <row r="1" ht="24" customHeight="1">
      <c r="A1" s="1" t="inlineStr">
        <is>
          <t>Model Integrity Checks</t>
        </is>
      </c>
    </row>
    <row r="2"/>
    <row r="3"/>
    <row r="4">
      <c r="A4" s="18" t="inlineStr">
        <is>
          <t>Check</t>
        </is>
      </c>
      <c r="B4" s="18" t="inlineStr">
        <is>
          <t>Formula / tie-out</t>
        </is>
      </c>
      <c r="C4" s="18" t="inlineStr">
        <is>
          <t>Status</t>
        </is>
      </c>
      <c r="D4" s="18" t="inlineStr">
        <is>
          <t>Notes</t>
        </is>
      </c>
      <c r="E4" s="18" t="inlineStr">
        <is>
          <t>Severity</t>
        </is>
      </c>
      <c r="F4" s="18" t="inlineStr">
        <is>
          <t>Owner</t>
        </is>
      </c>
    </row>
    <row r="5">
      <c r="A5" s="3" t="inlineStr">
        <is>
          <t>Revenue forecast ties</t>
        </is>
      </c>
      <c r="B5" s="49">
        <f>ABS('Revenue Build'!J$14-'Margin Cost Build'!J$8)</f>
        <v/>
      </c>
      <c r="C5" s="43">
        <f>IF(B5&lt;0.1,"OK","FAIL")</f>
        <v/>
      </c>
      <c r="D5" s="8" t="inlineStr">
        <is>
          <t>Revenue Build output ties to Margin Cost Build</t>
        </is>
      </c>
      <c r="E5" s="13" t="inlineStr">
        <is>
          <t>Hard failure</t>
        </is>
      </c>
      <c r="F5" s="8" t="inlineStr">
        <is>
          <t>Model owner</t>
        </is>
      </c>
    </row>
    <row r="6">
      <c r="A6" s="3" t="inlineStr">
        <is>
          <t>EBITDA ties</t>
        </is>
      </c>
      <c r="B6" s="49">
        <f>ABS('Margin Cost Build'!J$12-('Margin Cost Build'!J$8*'Margin Cost Build'!J$11))</f>
        <v/>
      </c>
      <c r="C6" s="43">
        <f>IF(B6&lt;0.1,"OK","FAIL")</f>
        <v/>
      </c>
      <c r="D6" s="8" t="inlineStr">
        <is>
          <t>EBITDA equals revenue times EBITDA margin</t>
        </is>
      </c>
      <c r="E6" s="13" t="inlineStr">
        <is>
          <t>Hard failure</t>
        </is>
      </c>
      <c r="F6" s="8" t="inlineStr">
        <is>
          <t>Model owner</t>
        </is>
      </c>
    </row>
    <row r="7">
      <c r="A7" s="3" t="inlineStr">
        <is>
          <t>D&amp;A ties to Capex / D&amp;A tab</t>
        </is>
      </c>
      <c r="B7" s="49">
        <f>ABS('Margin Cost Build'!J$13-'Capex D&amp;A'!J$12)</f>
        <v/>
      </c>
      <c r="C7" s="43">
        <f>IF(B7&lt;0.1,"OK","FAIL")</f>
        <v/>
      </c>
      <c r="D7" s="8" t="inlineStr">
        <is>
          <t>D&amp;A ties to Capex / D&amp;A tab</t>
        </is>
      </c>
      <c r="E7" s="13" t="inlineStr">
        <is>
          <t>Hard failure</t>
        </is>
      </c>
      <c r="F7" s="8" t="inlineStr">
        <is>
          <t>Model owner</t>
        </is>
      </c>
    </row>
    <row r="8">
      <c r="A8" s="3" t="inlineStr">
        <is>
          <t>Change in NWC ties</t>
        </is>
      </c>
      <c r="B8" s="49">
        <f>ABS('Unlevered FCF'!J$13-'Working Capital'!J$17)</f>
        <v/>
      </c>
      <c r="C8" s="43">
        <f>IF(B8&lt;0.1,"OK","FAIL")</f>
        <v/>
      </c>
      <c r="D8" s="8" t="inlineStr">
        <is>
          <t>Change in NWC ties to Working Capital</t>
        </is>
      </c>
      <c r="E8" s="13" t="inlineStr">
        <is>
          <t>Hard failure</t>
        </is>
      </c>
      <c r="F8" s="8" t="inlineStr">
        <is>
          <t>Model owner</t>
        </is>
      </c>
    </row>
    <row r="9">
      <c r="A9" s="3" t="inlineStr">
        <is>
          <t>Unlevered FCF ties</t>
        </is>
      </c>
      <c r="B9" s="49">
        <f>ABS('Unlevered FCF'!J$14-('Unlevered FCF'!J$10+'Unlevered FCF'!J$11-'Unlevered FCF'!J$12-'Unlevered FCF'!J$13))</f>
        <v/>
      </c>
      <c r="C9" s="43">
        <f>IF(B9&lt;0.1,"OK","FAIL")</f>
        <v/>
      </c>
      <c r="D9" s="8" t="inlineStr">
        <is>
          <t>FCF formula integrity</t>
        </is>
      </c>
      <c r="E9" s="13" t="inlineStr">
        <is>
          <t>Hard failure</t>
        </is>
      </c>
      <c r="F9" s="8" t="inlineStr">
        <is>
          <t>Model owner</t>
        </is>
      </c>
    </row>
    <row r="10">
      <c r="A10" s="3" t="inlineStr">
        <is>
          <t>Discount factors are positive</t>
        </is>
      </c>
      <c r="B10" s="49">
        <f>MIN('Unlevered FCF'!E$16:J$16)</f>
        <v/>
      </c>
      <c r="C10" s="43">
        <f>IF(B10&gt;0,"OK","FAIL")</f>
        <v/>
      </c>
      <c r="D10" s="8" t="inlineStr">
        <is>
          <t>Discount factors must be positive</t>
        </is>
      </c>
      <c r="E10" s="13" t="inlineStr">
        <is>
          <t>Hard failure</t>
        </is>
      </c>
      <c r="F10" s="8" t="inlineStr">
        <is>
          <t>Model owner</t>
        </is>
      </c>
    </row>
    <row r="11">
      <c r="A11" s="3" t="inlineStr">
        <is>
          <t>Terminal value is positive</t>
        </is>
      </c>
      <c r="B11" s="49">
        <f>'Terminal Value'!B$12</f>
        <v/>
      </c>
      <c r="C11" s="43">
        <f>IF(B11&gt;0,"OK","FAIL")</f>
        <v/>
      </c>
      <c r="D11" s="8" t="inlineStr">
        <is>
          <t>Selected terminal value must be positive</t>
        </is>
      </c>
      <c r="E11" s="13" t="inlineStr">
        <is>
          <t>Hard failure</t>
        </is>
      </c>
      <c r="F11" s="8" t="inlineStr">
        <is>
          <t>Model owner</t>
        </is>
      </c>
    </row>
    <row r="12">
      <c r="A12" s="3" t="inlineStr">
        <is>
          <t>Enterprise value equals PV FCF + PV terminal value</t>
        </is>
      </c>
      <c r="B12" s="49">
        <f>ABS('DCF Valuation'!B$6-('DCF Valuation'!B$4+'DCF Valuation'!B$5))</f>
        <v/>
      </c>
      <c r="C12" s="43">
        <f>IF(B12&lt;0.1,"OK","FAIL")</f>
        <v/>
      </c>
      <c r="D12" s="8" t="inlineStr">
        <is>
          <t>Enterprise value ties</t>
        </is>
      </c>
      <c r="E12" s="13" t="inlineStr">
        <is>
          <t>Hard failure</t>
        </is>
      </c>
      <c r="F12" s="8" t="inlineStr">
        <is>
          <t>Model owner</t>
        </is>
      </c>
    </row>
    <row r="13">
      <c r="A13" s="3" t="inlineStr">
        <is>
          <t>Equity bridge ties</t>
        </is>
      </c>
      <c r="B13" s="49">
        <f>ABS('DCF Valuation'!B$16-('DCF Valuation'!B$6-'DCF Valuation'!B$11-'DCF Valuation'!B$12-'DCF Valuation'!B$13+'DCF Valuation'!B$14+'DCF Valuation'!B$15))</f>
        <v/>
      </c>
      <c r="C13" s="43">
        <f>IF(B13&lt;0.1,"OK","FAIL")</f>
        <v/>
      </c>
      <c r="D13" s="8" t="inlineStr">
        <is>
          <t>EV-to-equity bridge ties</t>
        </is>
      </c>
      <c r="E13" s="13" t="inlineStr">
        <is>
          <t>Hard failure</t>
        </is>
      </c>
      <c r="F13" s="8" t="inlineStr">
        <is>
          <t>Model owner</t>
        </is>
      </c>
    </row>
    <row r="14">
      <c r="A14" s="3" t="inlineStr">
        <is>
          <t>Share price calculation ties</t>
        </is>
      </c>
      <c r="B14" s="49">
        <f>ABS('DCF Valuation'!B$18-'DCF Valuation'!B$16/'DCF Valuation'!B$17)</f>
        <v/>
      </c>
      <c r="C14" s="43">
        <f>IF(B14&lt;0.01,"OK","FAIL")</f>
        <v/>
      </c>
      <c r="D14" s="8" t="inlineStr">
        <is>
          <t>Implied share price ties</t>
        </is>
      </c>
      <c r="E14" s="13" t="inlineStr">
        <is>
          <t>Hard failure</t>
        </is>
      </c>
      <c r="F14" s="8" t="inlineStr">
        <is>
          <t>Model owner</t>
        </is>
      </c>
    </row>
    <row r="15">
      <c r="A15" s="3" t="inlineStr">
        <is>
          <t>No missing scenario selection</t>
        </is>
      </c>
      <c r="B15" s="49">
        <f>'Control Panel'!$B$10</f>
        <v/>
      </c>
      <c r="C15" s="43">
        <f>IF(OR(B15="Base",B15="Downside",B15="Upside"),"OK","FAIL")</f>
        <v/>
      </c>
      <c r="D15" s="8" t="inlineStr">
        <is>
          <t>Scenario selection must be valid</t>
        </is>
      </c>
      <c r="E15" s="13" t="inlineStr">
        <is>
          <t>Hard failure</t>
        </is>
      </c>
      <c r="F15" s="8" t="inlineStr">
        <is>
          <t>Model owner</t>
        </is>
      </c>
    </row>
    <row r="16">
      <c r="A16" s="3" t="inlineStr">
        <is>
          <t>No external links</t>
        </is>
      </c>
      <c r="B16" s="49">
        <f>'Control Panel'!$B$79</f>
        <v/>
      </c>
      <c r="C16" s="43">
        <f>IF(B16="No external links","OK","FAIL")</f>
        <v/>
      </c>
      <c r="D16" s="8" t="inlineStr">
        <is>
          <t>Validated by builder and tests</t>
        </is>
      </c>
      <c r="E16" s="13" t="inlineStr">
        <is>
          <t>Hard failure</t>
        </is>
      </c>
      <c r="F16" s="8" t="inlineStr">
        <is>
          <t>Model owner</t>
        </is>
      </c>
    </row>
    <row r="17">
      <c r="A17" s="3" t="inlineStr">
        <is>
          <t>Formula directionality - WACC sensitivity</t>
        </is>
      </c>
      <c r="B17" s="49">
        <f>'Sensitivities'!B5-'Sensitivities'!H5</f>
        <v/>
      </c>
      <c r="C17" s="43">
        <f>IF(B17&gt;0,"OK","FAIL")</f>
        <v/>
      </c>
      <c r="D17" s="8" t="inlineStr">
        <is>
          <t>Share price should decrease as WACC increases</t>
        </is>
      </c>
      <c r="E17" s="13" t="inlineStr">
        <is>
          <t>Warning</t>
        </is>
      </c>
      <c r="F17" s="8" t="inlineStr">
        <is>
          <t>Model owner</t>
        </is>
      </c>
    </row>
    <row r="18">
      <c r="A18" s="3" t="inlineStr">
        <is>
          <t>Terminal growth directionality</t>
        </is>
      </c>
      <c r="B18" s="49">
        <f>'Sensitivities'!B9-'Sensitivities'!B5</f>
        <v/>
      </c>
      <c r="C18" s="43">
        <f>IF(B18&gt;0,"OK","FAIL")</f>
        <v/>
      </c>
      <c r="D18" s="8" t="inlineStr">
        <is>
          <t>Share price should increase as terminal growth increases</t>
        </is>
      </c>
      <c r="E18" s="13" t="inlineStr">
        <is>
          <t>Warning</t>
        </is>
      </c>
      <c r="F18" s="8" t="inlineStr">
        <is>
          <t>Model owner</t>
        </is>
      </c>
    </row>
    <row r="19">
      <c r="A19" s="3" t="inlineStr">
        <is>
          <t>Diluted shares positive</t>
        </is>
      </c>
      <c r="B19" s="49">
        <f>'Control Panel'!$B$86</f>
        <v/>
      </c>
      <c r="C19" s="43">
        <f>IF(B19&gt;0,"OK","FAIL")</f>
        <v/>
      </c>
      <c r="D19" s="8" t="inlineStr">
        <is>
          <t>Share count must be positive</t>
        </is>
      </c>
      <c r="E19" s="13" t="inlineStr">
        <is>
          <t>Hard failure</t>
        </is>
      </c>
      <c r="F19" s="8" t="inlineStr">
        <is>
          <t>Model owner</t>
        </is>
      </c>
    </row>
    <row r="20">
      <c r="A20" s="3" t="inlineStr">
        <is>
          <t>WACC greater than terminal growth</t>
        </is>
      </c>
      <c r="B20" s="49">
        <f>'Control Panel'!$B$78-'Control Panel'!$B$83</f>
        <v/>
      </c>
      <c r="C20" s="43">
        <f>IF(B20&gt;0,"OK","FAIL")</f>
        <v/>
      </c>
      <c r="D20" s="8" t="inlineStr">
        <is>
          <t>Gordon growth requires WACC &gt; g</t>
        </is>
      </c>
      <c r="E20" s="13" t="inlineStr">
        <is>
          <t>Hard failure</t>
        </is>
      </c>
      <c r="F20" s="8" t="inlineStr">
        <is>
          <t>Model owner</t>
        </is>
      </c>
    </row>
    <row r="21">
      <c r="A21" s="3" t="inlineStr">
        <is>
          <t>Debt/cash constraints</t>
        </is>
      </c>
      <c r="B21" s="49">
        <f>'Control Panel'!$B$85</f>
        <v/>
      </c>
      <c r="C21" s="43">
        <f>IF(B21&gt;=0,"OK","FAIL")</f>
        <v/>
      </c>
      <c r="D21" s="8" t="inlineStr">
        <is>
          <t>Net debt / cash bridge should be non-negative or explicitly reviewed</t>
        </is>
      </c>
      <c r="E21" s="13" t="inlineStr">
        <is>
          <t>Warning</t>
        </is>
      </c>
      <c r="F21" s="8" t="inlineStr">
        <is>
          <t>Model owner</t>
        </is>
      </c>
    </row>
    <row r="22">
      <c r="A22" s="3" t="inlineStr">
        <is>
          <t>Source labels present</t>
        </is>
      </c>
      <c r="B22" s="49">
        <f>COUNTA('Source Notes'!C6:C13)</f>
        <v/>
      </c>
      <c r="C22" s="43">
        <f>IF(B22&gt;=5,"OK","FAIL")</f>
        <v/>
      </c>
      <c r="D22" s="8" t="inlineStr">
        <is>
          <t>Source notes and confidence labels are required</t>
        </is>
      </c>
      <c r="E22" s="13" t="inlineStr">
        <is>
          <t>Hard failure</t>
        </is>
      </c>
      <c r="F22" s="8" t="inlineStr">
        <is>
          <t>Model owner</t>
        </is>
      </c>
    </row>
  </sheetData>
  <mergeCells count="1">
    <mergeCell ref="A1:F1"/>
  </mergeCells>
  <conditionalFormatting sqref="C5:C25">
    <cfRule type="cellIs" priority="1" operator="equal" dxfId="0">
      <formula>"OK"</formula>
    </cfRule>
    <cfRule type="cellIs" priority="2" operator="equal" dxfId="1">
      <formula>"FAIL"</formula>
    </cfRule>
    <cfRule type="cellIs" priority="3" operator="equal" dxfId="2">
      <formula>"WARN"</formula>
    </cfRule>
  </conditionalFormatting>
  <pageMargins left="0.75" right="0.75" top="1" bottom="1" header="0.5" footer="0.5"/>
  <pageSetup fitToHeight="0" fitToWidth="1"/>
</worksheet>
</file>

<file path=xl/worksheets/sheet16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6" customWidth="1" min="1" max="1"/>
    <col width="30" customWidth="1" min="2" max="2"/>
    <col width="20" customWidth="1" min="3" max="3"/>
    <col width="20" customWidth="1" min="4" max="4"/>
    <col width="24" customWidth="1" min="5" max="5"/>
    <col width="44" customWidth="1" min="6" max="6"/>
    <col width="20" customWidth="1" min="7" max="7"/>
    <col width="18" customWidth="1" min="8" max="8"/>
  </cols>
  <sheetData>
    <row r="1" ht="24" customHeight="1">
      <c r="A1" s="1" t="inlineStr">
        <is>
          <t>Source Notes and Evidence Tracking</t>
        </is>
      </c>
    </row>
    <row r="2"/>
    <row r="3"/>
    <row r="4">
      <c r="A4" s="18" t="inlineStr">
        <is>
          <t>Input area</t>
        </is>
      </c>
      <c r="B4" s="18" t="inlineStr">
        <is>
          <t>Source</t>
        </is>
      </c>
      <c r="C4" s="18" t="inlineStr">
        <is>
          <t>Evidence label</t>
        </is>
      </c>
      <c r="D4" s="18" t="inlineStr">
        <is>
          <t>As-of date</t>
        </is>
      </c>
      <c r="E4" s="18" t="inlineStr">
        <is>
          <t>Confidence</t>
        </is>
      </c>
      <c r="F4" s="18" t="inlineStr">
        <is>
          <t>Notes / diligence items</t>
        </is>
      </c>
      <c r="G4" s="18" t="inlineStr">
        <is>
          <t>Owner</t>
        </is>
      </c>
      <c r="H4" s="18" t="inlineStr">
        <is>
          <t>Status</t>
        </is>
      </c>
    </row>
    <row r="5">
      <c r="A5" s="5" t="inlineStr">
        <is>
          <t>Historical financials</t>
        </is>
      </c>
      <c r="B5" s="5" t="inlineStr">
        <is>
          <t>Illustrative placeholder</t>
        </is>
      </c>
      <c r="C5" s="5" t="inlineStr">
        <is>
          <t>placeholder</t>
        </is>
      </c>
      <c r="D5" s="5" t="inlineStr">
        <is>
          <t>2026-05-12</t>
        </is>
      </c>
      <c r="E5" s="5" t="inlineStr">
        <is>
          <t>Low</t>
        </is>
      </c>
      <c r="F5" s="5" t="inlineStr">
        <is>
          <t>Replace with filings, audit reports, or normalized financials.</t>
        </is>
      </c>
      <c r="G5" s="5" t="inlineStr">
        <is>
          <t>Model owner</t>
        </is>
      </c>
      <c r="H5" s="4" t="inlineStr">
        <is>
          <t>Open</t>
        </is>
      </c>
    </row>
    <row r="6">
      <c r="A6" s="5" t="inlineStr">
        <is>
          <t>Forecast assumptions</t>
        </is>
      </c>
      <c r="B6" s="5" t="inlineStr">
        <is>
          <t>Illustrative placeholder</t>
        </is>
      </c>
      <c r="C6" s="5" t="inlineStr">
        <is>
          <t>placeholder</t>
        </is>
      </c>
      <c r="D6" s="5" t="inlineStr">
        <is>
          <t>2026-05-12</t>
        </is>
      </c>
      <c r="E6" s="5" t="inlineStr">
        <is>
          <t>Low</t>
        </is>
      </c>
      <c r="F6" s="5" t="inlineStr">
        <is>
          <t>Replace with sourced operating forecast or approved management case.</t>
        </is>
      </c>
      <c r="G6" s="5" t="inlineStr">
        <is>
          <t>Model owner</t>
        </is>
      </c>
      <c r="H6" s="4" t="inlineStr">
        <is>
          <t>Open</t>
        </is>
      </c>
    </row>
    <row r="7">
      <c r="A7" s="5" t="inlineStr">
        <is>
          <t>WACC assumptions</t>
        </is>
      </c>
      <c r="B7" s="5" t="inlineStr">
        <is>
          <t>Illustrative placeholder</t>
        </is>
      </c>
      <c r="C7" s="5" t="inlineStr">
        <is>
          <t>placeholder</t>
        </is>
      </c>
      <c r="D7" s="5" t="inlineStr">
        <is>
          <t>2026-05-12</t>
        </is>
      </c>
      <c r="E7" s="5" t="inlineStr">
        <is>
          <t>Low</t>
        </is>
      </c>
      <c r="F7" s="5" t="inlineStr">
        <is>
          <t>Replace with market data as of valuation date.</t>
        </is>
      </c>
      <c r="G7" s="5" t="inlineStr">
        <is>
          <t>Model owner</t>
        </is>
      </c>
      <c r="H7" s="4" t="inlineStr">
        <is>
          <t>Open</t>
        </is>
      </c>
    </row>
    <row r="8">
      <c r="A8" s="5" t="inlineStr">
        <is>
          <t>Terminal value</t>
        </is>
      </c>
      <c r="B8" s="5" t="inlineStr">
        <is>
          <t>Analyst assumption</t>
        </is>
      </c>
      <c r="C8" s="5" t="inlineStr">
        <is>
          <t>analyst_estimate</t>
        </is>
      </c>
      <c r="D8" s="5" t="inlineStr">
        <is>
          <t>2026-05-12</t>
        </is>
      </c>
      <c r="E8" s="5" t="inlineStr">
        <is>
          <t>Medium</t>
        </is>
      </c>
      <c r="F8" s="5" t="inlineStr">
        <is>
          <t>Confirm long-run growth, exit multiple, and terminal ROIC support.</t>
        </is>
      </c>
      <c r="G8" s="5" t="inlineStr">
        <is>
          <t>Valuation lead</t>
        </is>
      </c>
      <c r="H8" s="4" t="inlineStr">
        <is>
          <t>Open</t>
        </is>
      </c>
    </row>
    <row r="9">
      <c r="A9" s="5" t="inlineStr">
        <is>
          <t>Net debt</t>
        </is>
      </c>
      <c r="B9" s="5" t="inlineStr">
        <is>
          <t>Illustrative placeholder</t>
        </is>
      </c>
      <c r="C9" s="5" t="inlineStr">
        <is>
          <t>placeholder</t>
        </is>
      </c>
      <c r="D9" s="5" t="inlineStr">
        <is>
          <t>2026-05-12</t>
        </is>
      </c>
      <c r="E9" s="5" t="inlineStr">
        <is>
          <t>Low</t>
        </is>
      </c>
      <c r="F9" s="5" t="inlineStr">
        <is>
          <t>Replace with latest balance sheet and debt-like item bridge.</t>
        </is>
      </c>
      <c r="G9" s="5" t="inlineStr">
        <is>
          <t>Model owner</t>
        </is>
      </c>
      <c r="H9" s="4" t="inlineStr">
        <is>
          <t>Open</t>
        </is>
      </c>
    </row>
    <row r="10">
      <c r="A10" s="5" t="inlineStr">
        <is>
          <t>Diluted shares</t>
        </is>
      </c>
      <c r="B10" s="5" t="inlineStr">
        <is>
          <t>Illustrative placeholder</t>
        </is>
      </c>
      <c r="C10" s="5" t="inlineStr">
        <is>
          <t>placeholder</t>
        </is>
      </c>
      <c r="D10" s="5" t="inlineStr">
        <is>
          <t>2026-05-12</t>
        </is>
      </c>
      <c r="E10" s="5" t="inlineStr">
        <is>
          <t>Low</t>
        </is>
      </c>
      <c r="F10" s="5" t="inlineStr">
        <is>
          <t>Replace with latest diluted share count or TSM schedule.</t>
        </is>
      </c>
      <c r="G10" s="5" t="inlineStr">
        <is>
          <t>Model owner</t>
        </is>
      </c>
      <c r="H10" s="4" t="inlineStr">
        <is>
          <t>Open</t>
        </is>
      </c>
    </row>
    <row r="11">
      <c r="A11" s="5" t="inlineStr">
        <is>
          <t>Current share price</t>
        </is>
      </c>
      <c r="B11" s="5" t="inlineStr">
        <is>
          <t>Illustrative placeholder</t>
        </is>
      </c>
      <c r="C11" s="5" t="inlineStr">
        <is>
          <t>placeholder</t>
        </is>
      </c>
      <c r="D11" s="5" t="inlineStr">
        <is>
          <t>2026-05-12</t>
        </is>
      </c>
      <c r="E11" s="5" t="inlineStr">
        <is>
          <t>Low</t>
        </is>
      </c>
      <c r="F11" s="5" t="inlineStr">
        <is>
          <t>Update to market price as of valuation date.</t>
        </is>
      </c>
      <c r="G11" s="5" t="inlineStr">
        <is>
          <t>Model owner</t>
        </is>
      </c>
      <c r="H11" s="4" t="inlineStr">
        <is>
          <t>Open</t>
        </is>
      </c>
    </row>
    <row r="12">
      <c r="A12" s="5" t="inlineStr">
        <is>
          <t>Segment assumptions</t>
        </is>
      </c>
      <c r="B12" s="5" t="inlineStr">
        <is>
          <t>Illustrative placeholder</t>
        </is>
      </c>
      <c r="C12" s="5" t="inlineStr">
        <is>
          <t>placeholder</t>
        </is>
      </c>
      <c r="D12" s="5" t="inlineStr">
        <is>
          <t>2026-05-12</t>
        </is>
      </c>
      <c r="E12" s="5" t="inlineStr">
        <is>
          <t>Low</t>
        </is>
      </c>
      <c r="F12" s="5" t="inlineStr">
        <is>
          <t>Add segment-level source support if used.</t>
        </is>
      </c>
      <c r="G12" s="5" t="inlineStr">
        <is>
          <t>Model owner</t>
        </is>
      </c>
      <c r="H12" s="4" t="inlineStr">
        <is>
          <t>Open</t>
        </is>
      </c>
    </row>
  </sheetData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2026-05-12T03:59:24Z</dcterms:created>
  <dcterms:modified xmlns:dcterms="http://purl.org/dc/terms/" xmlns:xsi="http://www.w3.org/2001/XMLSchema-instance" xsi:type="dcterms:W3CDTF">2026-05-12T03:59:24Z</dcterms:modified>
</cp:coreProperties>
</file>